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autoCompressPictures="0"/>
  <bookViews>
    <workbookView xWindow="-20" yWindow="340" windowWidth="25600" windowHeight="15520" tabRatio="927" firstSheet="1" activeTab="1"/>
  </bookViews>
  <sheets>
    <sheet name="Months" sheetId="38" state="hidden" r:id="rId1"/>
    <sheet name="Cash flow" sheetId="34" r:id="rId2"/>
    <sheet name="Projected income" sheetId="31" r:id="rId3"/>
    <sheet name="Income tracking" sheetId="32" r:id="rId4"/>
    <sheet name="Expense tracking" sheetId="17" r:id="rId5"/>
    <sheet name="Schedule F" sheetId="16" r:id="rId6"/>
    <sheet name="Car and truck" sheetId="4" r:id="rId7"/>
    <sheet name="Chemicals" sheetId="7" r:id="rId8"/>
    <sheet name="Custom hire" sheetId="9" r:id="rId9"/>
    <sheet name="Fertilizers and lime" sheetId="13" r:id="rId10"/>
    <sheet name="Gasoline" sheetId="15" r:id="rId11"/>
    <sheet name="Labor" sheetId="20" r:id="rId12"/>
    <sheet name="Insurance" sheetId="18" r:id="rId13"/>
    <sheet name="Rent or lease" sheetId="22" r:id="rId14"/>
    <sheet name="Repairs and maintenance" sheetId="23" r:id="rId15"/>
    <sheet name="Seeds and plants" sheetId="24" r:id="rId16"/>
    <sheet name="Supplies" sheetId="26" r:id="rId17"/>
    <sheet name="Taxes" sheetId="27" r:id="rId18"/>
    <sheet name="Utilities" sheetId="28" r:id="rId19"/>
    <sheet name="Other expenses" sheetId="30" r:id="rId20"/>
    <sheet name="Conservation expenses" sheetId="8" r:id="rId21"/>
    <sheet name="Depreciation" sheetId="10" r:id="rId22"/>
    <sheet name="Employee benefit programs" sheetId="11" r:id="rId23"/>
    <sheet name="Feed" sheetId="12" r:id="rId24"/>
    <sheet name="Freight and trucking" sheetId="14" r:id="rId25"/>
    <sheet name="Interest" sheetId="19" r:id="rId26"/>
    <sheet name="Pension and profit-sharing" sheetId="21" r:id="rId27"/>
    <sheet name="Storage and warehousing" sheetId="25" r:id="rId28"/>
    <sheet name="Veterinary" sheetId="29" r:id="rId29"/>
  </sheets>
  <definedNames>
    <definedName name="bulk_food">#REF!</definedName>
    <definedName name="Car">'Car and truck'!$A$4:$A$12</definedName>
    <definedName name="Carandtruck">'Car and truck'!$A$4:$A$12</definedName>
    <definedName name="Chemicals">Chemicals!$A$4:$A$8</definedName>
    <definedName name="CSAaddon">#REF!</definedName>
    <definedName name="Custom">'Custom hire'!$A$4:$A$6</definedName>
    <definedName name="Expensecategory">'Schedule F'!$A$2:$A$24</definedName>
    <definedName name="Fertilizers">'Fertilizers and lime'!$A$4:$A$15</definedName>
    <definedName name="Gasoline">Gasoline!$A$4:$A$7</definedName>
    <definedName name="Insurance">Insurance!$A$4:$A$5</definedName>
    <definedName name="Labor">Labor!$A$4:$A$5</definedName>
    <definedName name="Other">'Other expenses'!$A$4:$A$8</definedName>
    <definedName name="Ramps_for_BCS">'Expense tracking'!$C$2</definedName>
    <definedName name="Reimbursement">#REF!</definedName>
    <definedName name="Reimbursements">#REF!</definedName>
    <definedName name="Rent">'Rent or lease'!$A$4:$A$6</definedName>
    <definedName name="Repairs">'Repairs and maintenance'!$A$4:$A$7</definedName>
    <definedName name="Seeds">'Seeds and plants'!$A$4:$A$5</definedName>
    <definedName name="Supplies">Supplies!$A$4:$A$68</definedName>
    <definedName name="Utilities">Utilities!$A$4:$A$8</definedName>
  </definedNames>
  <calcPr calcId="140001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33" i="34" l="1"/>
  <c r="N39" i="34"/>
  <c r="F30" i="34"/>
  <c r="F31" i="34"/>
  <c r="F32" i="34"/>
  <c r="F33" i="34"/>
  <c r="F34" i="34"/>
  <c r="F35" i="34"/>
  <c r="F36" i="34"/>
  <c r="F37" i="34"/>
  <c r="F38" i="34"/>
  <c r="F39" i="34"/>
  <c r="F40" i="34"/>
  <c r="F41" i="34"/>
  <c r="F42" i="34"/>
  <c r="H30" i="34"/>
  <c r="H31" i="34"/>
  <c r="H32" i="34"/>
  <c r="H33" i="34"/>
  <c r="H34" i="34"/>
  <c r="H35" i="34"/>
  <c r="H36" i="34"/>
  <c r="H37" i="34"/>
  <c r="H38" i="34"/>
  <c r="H39" i="34"/>
  <c r="H40" i="34"/>
  <c r="H41" i="34"/>
  <c r="H42" i="34"/>
  <c r="J30" i="34"/>
  <c r="J31" i="34"/>
  <c r="J32" i="34"/>
  <c r="J33" i="34"/>
  <c r="J34" i="34"/>
  <c r="J35" i="34"/>
  <c r="J36" i="34"/>
  <c r="J37" i="34"/>
  <c r="J38" i="34"/>
  <c r="J39" i="34"/>
  <c r="J40" i="34"/>
  <c r="J41" i="34"/>
  <c r="J42" i="34"/>
  <c r="L30" i="34"/>
  <c r="L31" i="34"/>
  <c r="L32" i="34"/>
  <c r="L33" i="34"/>
  <c r="L34" i="34"/>
  <c r="L35" i="34"/>
  <c r="L36" i="34"/>
  <c r="L37" i="34"/>
  <c r="L38" i="34"/>
  <c r="L39" i="34"/>
  <c r="L40" i="34"/>
  <c r="L41" i="34"/>
  <c r="L42" i="34"/>
  <c r="C29" i="34"/>
  <c r="C19" i="34"/>
  <c r="C14" i="34"/>
  <c r="C9" i="34"/>
  <c r="C21" i="34"/>
  <c r="C26" i="34"/>
  <c r="E19" i="34"/>
  <c r="E14" i="34"/>
  <c r="E9" i="34"/>
  <c r="E21" i="34"/>
  <c r="E29" i="34"/>
  <c r="E26" i="34"/>
  <c r="N7" i="34"/>
  <c r="D7" i="34"/>
  <c r="C21" i="16"/>
  <c r="A2" i="27"/>
  <c r="C20" i="16"/>
  <c r="A2" i="26"/>
  <c r="E6" i="26"/>
  <c r="E7" i="26"/>
  <c r="G42" i="4"/>
  <c r="G41" i="4"/>
  <c r="G40" i="4"/>
  <c r="G39" i="4"/>
  <c r="G38" i="4"/>
  <c r="G37" i="4"/>
  <c r="G36" i="4"/>
  <c r="G35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D4" i="18"/>
  <c r="D5" i="18"/>
  <c r="E4" i="4"/>
  <c r="F43" i="4"/>
  <c r="B15" i="16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19" i="4"/>
  <c r="C2" i="16"/>
  <c r="C3" i="16"/>
  <c r="C16" i="16"/>
  <c r="C17" i="16"/>
  <c r="C18" i="16"/>
  <c r="C19" i="16"/>
  <c r="C22" i="16"/>
  <c r="C23" i="16"/>
  <c r="C24" i="16"/>
  <c r="C15" i="16"/>
  <c r="C4" i="16"/>
  <c r="C5" i="16"/>
  <c r="C6" i="16"/>
  <c r="C7" i="16"/>
  <c r="C8" i="16"/>
  <c r="C9" i="16"/>
  <c r="C10" i="16"/>
  <c r="C11" i="16"/>
  <c r="C12" i="16"/>
  <c r="C13" i="16"/>
  <c r="C2" i="31"/>
  <c r="C3" i="31"/>
  <c r="C4" i="31"/>
  <c r="C6" i="31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19" i="4"/>
  <c r="I56" i="20"/>
  <c r="J56" i="20"/>
  <c r="C5" i="31"/>
  <c r="B6" i="31"/>
  <c r="E5" i="22"/>
  <c r="E4" i="22"/>
  <c r="E5" i="18"/>
  <c r="E7" i="28"/>
  <c r="D7" i="28"/>
  <c r="E8" i="30"/>
  <c r="E42" i="26"/>
  <c r="D42" i="26"/>
  <c r="E4" i="26"/>
  <c r="E5" i="26"/>
  <c r="E8" i="26"/>
  <c r="E9" i="26"/>
  <c r="E10" i="26"/>
  <c r="E11" i="26"/>
  <c r="E12" i="26"/>
  <c r="E13" i="26"/>
  <c r="E14" i="26"/>
  <c r="E15" i="26"/>
  <c r="E16" i="26"/>
  <c r="E17" i="26"/>
  <c r="E18" i="26"/>
  <c r="E19" i="26"/>
  <c r="E20" i="26"/>
  <c r="E21" i="26"/>
  <c r="E22" i="26"/>
  <c r="E23" i="26"/>
  <c r="E24" i="26"/>
  <c r="E25" i="26"/>
  <c r="E26" i="26"/>
  <c r="E27" i="26"/>
  <c r="E28" i="26"/>
  <c r="E29" i="26"/>
  <c r="E30" i="26"/>
  <c r="E31" i="26"/>
  <c r="E32" i="26"/>
  <c r="E33" i="26"/>
  <c r="E34" i="26"/>
  <c r="E35" i="26"/>
  <c r="E36" i="26"/>
  <c r="E37" i="26"/>
  <c r="E38" i="26"/>
  <c r="E39" i="26"/>
  <c r="E40" i="26"/>
  <c r="E41" i="26"/>
  <c r="E43" i="26"/>
  <c r="E44" i="26"/>
  <c r="E45" i="26"/>
  <c r="E46" i="26"/>
  <c r="E47" i="26"/>
  <c r="E48" i="26"/>
  <c r="E49" i="26"/>
  <c r="E50" i="26"/>
  <c r="E51" i="26"/>
  <c r="E52" i="26"/>
  <c r="E53" i="26"/>
  <c r="E54" i="26"/>
  <c r="E55" i="26"/>
  <c r="E56" i="26"/>
  <c r="E57" i="26"/>
  <c r="E58" i="26"/>
  <c r="E59" i="26"/>
  <c r="E60" i="26"/>
  <c r="E61" i="26"/>
  <c r="E62" i="26"/>
  <c r="E63" i="26"/>
  <c r="E64" i="26"/>
  <c r="E65" i="26"/>
  <c r="E66" i="26"/>
  <c r="E67" i="26"/>
  <c r="E68" i="26"/>
  <c r="E69" i="26"/>
  <c r="D54" i="26"/>
  <c r="D44" i="26"/>
  <c r="E4" i="20"/>
  <c r="C14" i="16"/>
  <c r="A2" i="20"/>
  <c r="A2" i="15"/>
  <c r="E5" i="20"/>
  <c r="E6" i="20"/>
  <c r="A2" i="13"/>
  <c r="E4" i="15"/>
  <c r="E5" i="15"/>
  <c r="E6" i="15"/>
  <c r="E7" i="15"/>
  <c r="E8" i="15"/>
  <c r="E4" i="13"/>
  <c r="E5" i="13"/>
  <c r="E6" i="13"/>
  <c r="E7" i="13"/>
  <c r="E8" i="13"/>
  <c r="E9" i="13"/>
  <c r="E10" i="13"/>
  <c r="E11" i="13"/>
  <c r="E12" i="13"/>
  <c r="E13" i="13"/>
  <c r="E14" i="13"/>
  <c r="E16" i="13"/>
  <c r="E4" i="9"/>
  <c r="E5" i="9"/>
  <c r="E7" i="9"/>
  <c r="F4" i="9"/>
  <c r="F5" i="9"/>
  <c r="F6" i="9"/>
  <c r="F7" i="9"/>
  <c r="E4" i="7"/>
  <c r="F4" i="7"/>
  <c r="F5" i="7"/>
  <c r="F6" i="7"/>
  <c r="F7" i="7"/>
  <c r="F8" i="7"/>
  <c r="F9" i="7"/>
  <c r="E5" i="4"/>
  <c r="E6" i="4"/>
  <c r="E7" i="4"/>
  <c r="E8" i="4"/>
  <c r="E9" i="4"/>
  <c r="E10" i="4"/>
  <c r="E11" i="4"/>
  <c r="E12" i="4"/>
  <c r="E13" i="4"/>
  <c r="D9" i="26"/>
  <c r="D59" i="26"/>
  <c r="D64" i="26"/>
  <c r="Z42" i="34"/>
  <c r="Z41" i="34"/>
  <c r="Z40" i="34"/>
  <c r="Z39" i="34"/>
  <c r="Z38" i="34"/>
  <c r="Z37" i="34"/>
  <c r="Z35" i="34"/>
  <c r="Z36" i="34"/>
  <c r="Z34" i="34"/>
  <c r="Z33" i="34"/>
  <c r="Z32" i="34"/>
  <c r="Z31" i="34"/>
  <c r="Z30" i="34"/>
  <c r="Z19" i="34"/>
  <c r="X19" i="34"/>
  <c r="Z17" i="34"/>
  <c r="Z13" i="34"/>
  <c r="Z12" i="34"/>
  <c r="X12" i="34"/>
  <c r="Z9" i="34"/>
  <c r="Z7" i="34"/>
  <c r="X7" i="34"/>
  <c r="X42" i="34"/>
  <c r="X41" i="34"/>
  <c r="X40" i="34"/>
  <c r="X39" i="34"/>
  <c r="X38" i="34"/>
  <c r="X37" i="34"/>
  <c r="X35" i="34"/>
  <c r="X36" i="34"/>
  <c r="X34" i="34"/>
  <c r="X33" i="34"/>
  <c r="X32" i="34"/>
  <c r="X31" i="34"/>
  <c r="X30" i="34"/>
  <c r="V19" i="34"/>
  <c r="X17" i="34"/>
  <c r="X13" i="34"/>
  <c r="X9" i="34"/>
  <c r="T19" i="34"/>
  <c r="V17" i="34"/>
  <c r="V13" i="34"/>
  <c r="V12" i="34"/>
  <c r="V9" i="34"/>
  <c r="V7" i="34"/>
  <c r="V42" i="34"/>
  <c r="V41" i="34"/>
  <c r="V40" i="34"/>
  <c r="V39" i="34"/>
  <c r="V38" i="34"/>
  <c r="V37" i="34"/>
  <c r="V35" i="34"/>
  <c r="V36" i="34"/>
  <c r="V34" i="34"/>
  <c r="V33" i="34"/>
  <c r="V32" i="34"/>
  <c r="V31" i="34"/>
  <c r="V30" i="34"/>
  <c r="T9" i="34"/>
  <c r="T7" i="34"/>
  <c r="T17" i="34"/>
  <c r="T42" i="34"/>
  <c r="T41" i="34"/>
  <c r="T40" i="34"/>
  <c r="T39" i="34"/>
  <c r="T38" i="34"/>
  <c r="T37" i="34"/>
  <c r="T35" i="34"/>
  <c r="T36" i="34"/>
  <c r="T34" i="34"/>
  <c r="T33" i="34"/>
  <c r="T32" i="34"/>
  <c r="T31" i="34"/>
  <c r="T30" i="34"/>
  <c r="T12" i="34"/>
  <c r="T13" i="34"/>
  <c r="R13" i="34"/>
  <c r="R19" i="34"/>
  <c r="P19" i="34"/>
  <c r="R17" i="34"/>
  <c r="R12" i="34"/>
  <c r="R9" i="34"/>
  <c r="R7" i="34"/>
  <c r="P9" i="34"/>
  <c r="P7" i="34"/>
  <c r="L7" i="34"/>
  <c r="J7" i="34"/>
  <c r="H7" i="34"/>
  <c r="F7" i="34"/>
  <c r="AB7" i="34"/>
  <c r="P12" i="34"/>
  <c r="P13" i="34"/>
  <c r="P17" i="34"/>
  <c r="L19" i="34"/>
  <c r="N19" i="34"/>
  <c r="J19" i="34"/>
  <c r="H19" i="34"/>
  <c r="F19" i="34"/>
  <c r="D19" i="34"/>
  <c r="AB19" i="34"/>
  <c r="N17" i="34"/>
  <c r="L17" i="34"/>
  <c r="J17" i="34"/>
  <c r="H17" i="34"/>
  <c r="F17" i="34"/>
  <c r="D17" i="34"/>
  <c r="AB17" i="34"/>
  <c r="N13" i="34"/>
  <c r="N12" i="34"/>
  <c r="N14" i="34"/>
  <c r="N9" i="34"/>
  <c r="N21" i="34"/>
  <c r="N30" i="34"/>
  <c r="N31" i="34"/>
  <c r="N32" i="34"/>
  <c r="N34" i="34"/>
  <c r="N36" i="34"/>
  <c r="N35" i="34"/>
  <c r="N37" i="34"/>
  <c r="N38" i="34"/>
  <c r="N40" i="34"/>
  <c r="N41" i="34"/>
  <c r="N42" i="34"/>
  <c r="N29" i="34"/>
  <c r="N26" i="34"/>
  <c r="L13" i="34"/>
  <c r="L12" i="34"/>
  <c r="L9" i="34"/>
  <c r="J13" i="34"/>
  <c r="H13" i="34"/>
  <c r="F13" i="34"/>
  <c r="D13" i="34"/>
  <c r="AB13" i="34"/>
  <c r="J12" i="34"/>
  <c r="J9" i="34"/>
  <c r="H12" i="34"/>
  <c r="H9" i="34"/>
  <c r="F9" i="34"/>
  <c r="F12" i="34"/>
  <c r="F14" i="34"/>
  <c r="F21" i="34"/>
  <c r="F29" i="34"/>
  <c r="F26" i="34"/>
  <c r="D42" i="34"/>
  <c r="D41" i="34"/>
  <c r="D40" i="34"/>
  <c r="D39" i="34"/>
  <c r="D38" i="34"/>
  <c r="D37" i="34"/>
  <c r="D35" i="34"/>
  <c r="D36" i="34"/>
  <c r="D34" i="34"/>
  <c r="D33" i="34"/>
  <c r="D32" i="34"/>
  <c r="D31" i="34"/>
  <c r="D30" i="34"/>
  <c r="D29" i="34"/>
  <c r="D12" i="34"/>
  <c r="D9" i="34"/>
  <c r="D5" i="13"/>
  <c r="D58" i="26"/>
  <c r="D45" i="26"/>
  <c r="D21" i="26"/>
  <c r="D29" i="26"/>
  <c r="D41" i="26"/>
  <c r="D6" i="22"/>
  <c r="D7" i="22"/>
  <c r="B37" i="34"/>
  <c r="A2" i="4"/>
  <c r="A2" i="9"/>
  <c r="AA29" i="34"/>
  <c r="R30" i="34"/>
  <c r="P30" i="34"/>
  <c r="AB30" i="34"/>
  <c r="L29" i="34"/>
  <c r="R31" i="34"/>
  <c r="P31" i="34"/>
  <c r="J29" i="34"/>
  <c r="AB31" i="34"/>
  <c r="R32" i="34"/>
  <c r="P32" i="34"/>
  <c r="AB32" i="34"/>
  <c r="R33" i="34"/>
  <c r="P33" i="34"/>
  <c r="AB33" i="34"/>
  <c r="R34" i="34"/>
  <c r="P34" i="34"/>
  <c r="AB34" i="34"/>
  <c r="R36" i="34"/>
  <c r="P36" i="34"/>
  <c r="AB36" i="34"/>
  <c r="R35" i="34"/>
  <c r="P35" i="34"/>
  <c r="AB35" i="34"/>
  <c r="R37" i="34"/>
  <c r="P37" i="34"/>
  <c r="AB37" i="34"/>
  <c r="R38" i="34"/>
  <c r="P38" i="34"/>
  <c r="AB38" i="34"/>
  <c r="R39" i="34"/>
  <c r="P39" i="34"/>
  <c r="AB39" i="34"/>
  <c r="R40" i="34"/>
  <c r="P40" i="34"/>
  <c r="AB40" i="34"/>
  <c r="R41" i="34"/>
  <c r="P41" i="34"/>
  <c r="AB41" i="34"/>
  <c r="R42" i="34"/>
  <c r="P42" i="34"/>
  <c r="AB42" i="34"/>
  <c r="G19" i="34"/>
  <c r="G9" i="34"/>
  <c r="G14" i="34"/>
  <c r="G21" i="34"/>
  <c r="G29" i="34"/>
  <c r="G26" i="34"/>
  <c r="H29" i="34"/>
  <c r="H14" i="34"/>
  <c r="H21" i="34"/>
  <c r="H26" i="34"/>
  <c r="I19" i="34"/>
  <c r="O19" i="34"/>
  <c r="Q19" i="34"/>
  <c r="S19" i="34"/>
  <c r="U19" i="34"/>
  <c r="W19" i="34"/>
  <c r="Y19" i="34"/>
  <c r="M19" i="34"/>
  <c r="K19" i="34"/>
  <c r="AA19" i="34"/>
  <c r="I14" i="34"/>
  <c r="I9" i="34"/>
  <c r="I21" i="34"/>
  <c r="I29" i="34"/>
  <c r="I26" i="34"/>
  <c r="J14" i="34"/>
  <c r="J21" i="34"/>
  <c r="J26" i="34"/>
  <c r="K12" i="34"/>
  <c r="K14" i="34"/>
  <c r="K9" i="34"/>
  <c r="K21" i="34"/>
  <c r="K29" i="34"/>
  <c r="K26" i="34"/>
  <c r="L14" i="34"/>
  <c r="L21" i="34"/>
  <c r="M14" i="34"/>
  <c r="M9" i="34"/>
  <c r="M21" i="34"/>
  <c r="M29" i="34"/>
  <c r="M26" i="34"/>
  <c r="O14" i="34"/>
  <c r="O9" i="34"/>
  <c r="O21" i="34"/>
  <c r="O29" i="34"/>
  <c r="O26" i="34"/>
  <c r="P14" i="34"/>
  <c r="P21" i="34"/>
  <c r="Q14" i="34"/>
  <c r="Q9" i="34"/>
  <c r="Q29" i="34"/>
  <c r="R14" i="34"/>
  <c r="R21" i="34"/>
  <c r="S14" i="34"/>
  <c r="S9" i="34"/>
  <c r="S29" i="34"/>
  <c r="T29" i="34"/>
  <c r="T14" i="34"/>
  <c r="T21" i="34"/>
  <c r="T26" i="34"/>
  <c r="U14" i="34"/>
  <c r="U9" i="34"/>
  <c r="U21" i="34"/>
  <c r="U29" i="34"/>
  <c r="U26" i="34"/>
  <c r="V29" i="34"/>
  <c r="V14" i="34"/>
  <c r="V21" i="34"/>
  <c r="V26" i="34"/>
  <c r="W12" i="34"/>
  <c r="W14" i="34"/>
  <c r="W9" i="34"/>
  <c r="W21" i="34"/>
  <c r="W29" i="34"/>
  <c r="W26" i="34"/>
  <c r="X29" i="34"/>
  <c r="X14" i="34"/>
  <c r="X21" i="34"/>
  <c r="X26" i="34"/>
  <c r="Y12" i="34"/>
  <c r="Y13" i="34"/>
  <c r="Y14" i="34"/>
  <c r="Y9" i="34"/>
  <c r="Y29" i="34"/>
  <c r="Z29" i="34"/>
  <c r="Z14" i="34"/>
  <c r="Z21" i="34"/>
  <c r="Z26" i="34"/>
  <c r="AA9" i="34"/>
  <c r="D14" i="34"/>
  <c r="D21" i="34"/>
  <c r="D26" i="34"/>
  <c r="E4" i="24"/>
  <c r="A2" i="22"/>
  <c r="D5" i="15"/>
  <c r="D28" i="26"/>
  <c r="D6" i="9"/>
  <c r="D4" i="13"/>
  <c r="D6" i="13"/>
  <c r="D7" i="13"/>
  <c r="D8" i="13"/>
  <c r="D9" i="13"/>
  <c r="D10" i="13"/>
  <c r="D11" i="13"/>
  <c r="D12" i="13"/>
  <c r="D13" i="13"/>
  <c r="D14" i="13"/>
  <c r="D4" i="15"/>
  <c r="D6" i="15"/>
  <c r="D7" i="15"/>
  <c r="D8" i="15"/>
  <c r="B11" i="16"/>
  <c r="D4" i="20"/>
  <c r="D5" i="20"/>
  <c r="D6" i="18"/>
  <c r="B12" i="16"/>
  <c r="B35" i="34"/>
  <c r="D4" i="24"/>
  <c r="D5" i="24"/>
  <c r="D6" i="24"/>
  <c r="B18" i="16"/>
  <c r="D47" i="26"/>
  <c r="D48" i="26"/>
  <c r="D49" i="26"/>
  <c r="D50" i="26"/>
  <c r="D51" i="26"/>
  <c r="D52" i="26"/>
  <c r="D53" i="26"/>
  <c r="D55" i="26"/>
  <c r="D56" i="26"/>
  <c r="D57" i="26"/>
  <c r="D60" i="26"/>
  <c r="D61" i="26"/>
  <c r="D62" i="26"/>
  <c r="D11" i="26"/>
  <c r="D12" i="26"/>
  <c r="D13" i="26"/>
  <c r="D14" i="26"/>
  <c r="D16" i="26"/>
  <c r="D17" i="26"/>
  <c r="D19" i="26"/>
  <c r="D20" i="26"/>
  <c r="D22" i="26"/>
  <c r="D23" i="26"/>
  <c r="D24" i="26"/>
  <c r="D25" i="26"/>
  <c r="D26" i="26"/>
  <c r="D27" i="26"/>
  <c r="D31" i="26"/>
  <c r="D32" i="26"/>
  <c r="D33" i="26"/>
  <c r="D34" i="26"/>
  <c r="D35" i="26"/>
  <c r="D36" i="26"/>
  <c r="D37" i="26"/>
  <c r="D38" i="26"/>
  <c r="D39" i="26"/>
  <c r="D40" i="26"/>
  <c r="D46" i="26"/>
  <c r="D65" i="26"/>
  <c r="D66" i="26"/>
  <c r="D67" i="26"/>
  <c r="D68" i="26"/>
  <c r="D69" i="26"/>
  <c r="B40" i="34"/>
  <c r="D5" i="28"/>
  <c r="D6" i="28"/>
  <c r="D4" i="30"/>
  <c r="D5" i="30"/>
  <c r="D6" i="30"/>
  <c r="D7" i="30"/>
  <c r="D8" i="30"/>
  <c r="AB9" i="34"/>
  <c r="D4" i="7"/>
  <c r="D5" i="7"/>
  <c r="D6" i="7"/>
  <c r="D7" i="7"/>
  <c r="D8" i="7"/>
  <c r="D9" i="7"/>
  <c r="B3" i="16"/>
  <c r="AA7" i="34"/>
  <c r="AB18" i="34"/>
  <c r="D4" i="28"/>
  <c r="D8" i="28"/>
  <c r="D9" i="28"/>
  <c r="D4" i="23"/>
  <c r="D5" i="23"/>
  <c r="D6" i="23"/>
  <c r="D7" i="23"/>
  <c r="D5" i="9"/>
  <c r="D7" i="9"/>
  <c r="D5" i="4"/>
  <c r="D10" i="26"/>
  <c r="D5" i="26"/>
  <c r="D6" i="26"/>
  <c r="D7" i="26"/>
  <c r="D15" i="13"/>
  <c r="D10" i="4"/>
  <c r="B19" i="34"/>
  <c r="B14" i="34"/>
  <c r="B9" i="34"/>
  <c r="B21" i="34"/>
  <c r="D4" i="4"/>
  <c r="A2" i="30"/>
  <c r="A2" i="28"/>
  <c r="A2" i="24"/>
  <c r="A2" i="23"/>
  <c r="A2" i="18"/>
  <c r="A2" i="7"/>
  <c r="D6" i="4"/>
  <c r="D7" i="4"/>
  <c r="D8" i="4"/>
  <c r="D9" i="4"/>
  <c r="D11" i="4"/>
  <c r="D12" i="4"/>
  <c r="E7" i="30"/>
  <c r="E6" i="30"/>
  <c r="E5" i="30"/>
  <c r="E4" i="30"/>
  <c r="E8" i="28"/>
  <c r="E6" i="28"/>
  <c r="E5" i="28"/>
  <c r="E4" i="28"/>
  <c r="E5" i="24"/>
  <c r="E7" i="23"/>
  <c r="E6" i="23"/>
  <c r="E5" i="23"/>
  <c r="E4" i="23"/>
  <c r="E6" i="22"/>
  <c r="E7" i="22"/>
  <c r="E4" i="18"/>
  <c r="E15" i="13"/>
  <c r="E8" i="7"/>
  <c r="E7" i="7"/>
  <c r="E6" i="7"/>
  <c r="E5" i="7"/>
  <c r="B20" i="16"/>
  <c r="B16" i="16"/>
  <c r="B6" i="16"/>
  <c r="B7" i="16"/>
  <c r="B8" i="16"/>
  <c r="B13" i="16"/>
  <c r="B19" i="16"/>
  <c r="B23" i="16"/>
  <c r="E4" i="21"/>
  <c r="D4" i="21"/>
  <c r="E4" i="8"/>
  <c r="D4" i="8"/>
  <c r="B4" i="16"/>
  <c r="E9" i="30"/>
  <c r="E3" i="29"/>
  <c r="D3" i="29"/>
  <c r="E5" i="27"/>
  <c r="D5" i="27"/>
  <c r="B21" i="16"/>
  <c r="E3" i="25"/>
  <c r="D3" i="25"/>
  <c r="E6" i="24"/>
  <c r="E4" i="19"/>
  <c r="D4" i="19"/>
  <c r="E6" i="18"/>
  <c r="E4" i="14"/>
  <c r="D4" i="14"/>
  <c r="B10" i="16"/>
  <c r="E4" i="12"/>
  <c r="D4" i="12"/>
  <c r="E4" i="11"/>
  <c r="D4" i="11"/>
  <c r="E10" i="10"/>
  <c r="D10" i="10"/>
  <c r="D6" i="20"/>
  <c r="B14" i="16"/>
  <c r="B41" i="34"/>
  <c r="B22" i="16"/>
  <c r="AA14" i="34"/>
  <c r="AA21" i="34"/>
  <c r="D9" i="30"/>
  <c r="B39" i="34"/>
  <c r="B34" i="34"/>
  <c r="Q21" i="34"/>
  <c r="Q26" i="34"/>
  <c r="L26" i="34"/>
  <c r="AA18" i="34"/>
  <c r="AB29" i="34"/>
  <c r="B32" i="34"/>
  <c r="B5" i="16"/>
  <c r="B31" i="34"/>
  <c r="E9" i="7"/>
  <c r="E8" i="23"/>
  <c r="E9" i="28"/>
  <c r="D13" i="4"/>
  <c r="D8" i="23"/>
  <c r="AB14" i="34"/>
  <c r="AB21" i="34"/>
  <c r="D16" i="13"/>
  <c r="S21" i="34"/>
  <c r="S26" i="34"/>
  <c r="Y21" i="34"/>
  <c r="Y26" i="34"/>
  <c r="R29" i="34"/>
  <c r="R26" i="34"/>
  <c r="P29" i="34"/>
  <c r="P26" i="34"/>
  <c r="C25" i="16"/>
  <c r="AB12" i="34"/>
  <c r="B36" i="34"/>
  <c r="B24" i="16"/>
  <c r="B42" i="34"/>
  <c r="B38" i="34"/>
  <c r="B17" i="16"/>
  <c r="B33" i="34"/>
  <c r="B9" i="16"/>
  <c r="B30" i="34"/>
  <c r="B2" i="16"/>
  <c r="B25" i="16"/>
  <c r="B29" i="34"/>
</calcChain>
</file>

<file path=xl/sharedStrings.xml><?xml version="1.0" encoding="utf-8"?>
<sst xmlns="http://schemas.openxmlformats.org/spreadsheetml/2006/main" count="671" uniqueCount="291">
  <si>
    <t>Item</t>
  </si>
  <si>
    <t>Quantity</t>
  </si>
  <si>
    <t>Location Purchase</t>
  </si>
  <si>
    <t>Hitch</t>
  </si>
  <si>
    <t>Trailer</t>
  </si>
  <si>
    <t xml:space="preserve"> For What </t>
  </si>
  <si>
    <t xml:space="preserve"> Price </t>
  </si>
  <si>
    <t>Sluggo</t>
  </si>
  <si>
    <t>Dr Bronners</t>
  </si>
  <si>
    <t>BT</t>
  </si>
  <si>
    <t>CPA</t>
  </si>
  <si>
    <t>Surround</t>
  </si>
  <si>
    <t>Gypsum</t>
  </si>
  <si>
    <t>Boron</t>
  </si>
  <si>
    <t>Revitapro</t>
  </si>
  <si>
    <t>PH test kit</t>
  </si>
  <si>
    <t>Peat</t>
  </si>
  <si>
    <t>Woodchips</t>
  </si>
  <si>
    <t>Blood meal</t>
  </si>
  <si>
    <t>Compost</t>
  </si>
  <si>
    <t>BCS</t>
  </si>
  <si>
    <t>Insurance</t>
  </si>
  <si>
    <t>Utilities</t>
  </si>
  <si>
    <t>Electricity</t>
  </si>
  <si>
    <t>Supplies</t>
  </si>
  <si>
    <t>Posts</t>
  </si>
  <si>
    <t xml:space="preserve">Racks </t>
  </si>
  <si>
    <t>Dustin Mizer</t>
  </si>
  <si>
    <t>powder spreader</t>
  </si>
  <si>
    <t>Computer and Internet</t>
  </si>
  <si>
    <t>Paper</t>
  </si>
  <si>
    <t>Hand Soap</t>
  </si>
  <si>
    <t>Bleach</t>
  </si>
  <si>
    <t>Stamps</t>
  </si>
  <si>
    <t>Wordpress</t>
  </si>
  <si>
    <t>Vista Print</t>
  </si>
  <si>
    <t>Lamination</t>
  </si>
  <si>
    <t>T-shirts of other Swag to sell?</t>
  </si>
  <si>
    <t>rubber bands</t>
  </si>
  <si>
    <t>large bags</t>
  </si>
  <si>
    <t>small bags</t>
  </si>
  <si>
    <t>pints</t>
  </si>
  <si>
    <t>quarts</t>
  </si>
  <si>
    <t>twist ties</t>
  </si>
  <si>
    <t>OEFFA</t>
  </si>
  <si>
    <t>GCGC</t>
  </si>
  <si>
    <t>mister spigot</t>
  </si>
  <si>
    <t>Yoders</t>
  </si>
  <si>
    <t>uline</t>
  </si>
  <si>
    <t>Supplemental CSA items</t>
  </si>
  <si>
    <t>small cooler</t>
  </si>
  <si>
    <t>CSA</t>
  </si>
  <si>
    <t>Chemicals</t>
  </si>
  <si>
    <t>Custom hire</t>
  </si>
  <si>
    <t>Depreciation</t>
  </si>
  <si>
    <t>Feed</t>
  </si>
  <si>
    <t>Fertilizers and lime</t>
  </si>
  <si>
    <t>Interest</t>
  </si>
  <si>
    <t>Labor hired</t>
  </si>
  <si>
    <t>Rent or lease</t>
  </si>
  <si>
    <t>Repairs and maintenance</t>
  </si>
  <si>
    <t>Seeds and plants</t>
  </si>
  <si>
    <t>Taxes</t>
  </si>
  <si>
    <t>Veterinary</t>
  </si>
  <si>
    <t>Other expenses</t>
  </si>
  <si>
    <t>Total</t>
  </si>
  <si>
    <t>Expense category (Schedule F)</t>
  </si>
  <si>
    <t>Projected cost</t>
  </si>
  <si>
    <t>Parking fees &amp; tolls</t>
  </si>
  <si>
    <t>Oil &amp; oil changes</t>
  </si>
  <si>
    <t>Vehicle repair</t>
  </si>
  <si>
    <t>Vehicle insurance</t>
  </si>
  <si>
    <t>Date</t>
  </si>
  <si>
    <t>Cost</t>
  </si>
  <si>
    <t>Expense category</t>
  </si>
  <si>
    <t>YTD cost</t>
  </si>
  <si>
    <t>Electrician</t>
  </si>
  <si>
    <t xml:space="preserve"> trace mineral salt </t>
  </si>
  <si>
    <t xml:space="preserve"> rock phosphate </t>
  </si>
  <si>
    <t xml:space="preserve"> azomite </t>
  </si>
  <si>
    <t xml:space="preserve"> cu yards </t>
  </si>
  <si>
    <t>Vehicles, machinery, equipment</t>
  </si>
  <si>
    <t>Other (land, animals, etc)</t>
  </si>
  <si>
    <t>Vehicle registration</t>
  </si>
  <si>
    <t>Description</t>
  </si>
  <si>
    <t>Equipment oil</t>
  </si>
  <si>
    <t>Gasoline</t>
  </si>
  <si>
    <t>2-stroke engine oil</t>
  </si>
  <si>
    <t>Land Bank annual fee</t>
  </si>
  <si>
    <t>Tools</t>
  </si>
  <si>
    <t xml:space="preserve"> Description </t>
  </si>
  <si>
    <t>Production seed</t>
  </si>
  <si>
    <t>Cover crop seed</t>
  </si>
  <si>
    <t>Electric fence</t>
  </si>
  <si>
    <t>Trellis materials</t>
  </si>
  <si>
    <t>Greenhouse materials</t>
  </si>
  <si>
    <t>Twine</t>
  </si>
  <si>
    <t>Stakes</t>
  </si>
  <si>
    <t>for curing produce</t>
  </si>
  <si>
    <t>replacements</t>
  </si>
  <si>
    <t>Greenhouse Tracey</t>
  </si>
  <si>
    <t>Marketing materials</t>
  </si>
  <si>
    <t>Cellphone</t>
  </si>
  <si>
    <t>Field supplies</t>
  </si>
  <si>
    <t>harvest knives</t>
  </si>
  <si>
    <t>Office supplies</t>
  </si>
  <si>
    <t>cardstock</t>
  </si>
  <si>
    <t>Amazon</t>
  </si>
  <si>
    <t>uline 12x20</t>
  </si>
  <si>
    <t>uline 10x15</t>
  </si>
  <si>
    <t>website</t>
  </si>
  <si>
    <t>large cooler</t>
  </si>
  <si>
    <t>Heat mats</t>
  </si>
  <si>
    <t>Propane heater</t>
  </si>
  <si>
    <t xml:space="preserve">cold weather gloves </t>
  </si>
  <si>
    <t>nitrile gloves</t>
  </si>
  <si>
    <t>work clothing</t>
  </si>
  <si>
    <t>predetermined set amount for field work</t>
  </si>
  <si>
    <t>Caterpillar tunnel</t>
  </si>
  <si>
    <t>Infrastructure</t>
  </si>
  <si>
    <t>Conference and workshop attendance</t>
  </si>
  <si>
    <t>continued education</t>
  </si>
  <si>
    <t>Car and truck</t>
  </si>
  <si>
    <t>YTD</t>
  </si>
  <si>
    <t>Trailer registration</t>
  </si>
  <si>
    <t>Fish fertilizer</t>
  </si>
  <si>
    <t>Epsom salt</t>
  </si>
  <si>
    <t>Phosphorous</t>
  </si>
  <si>
    <t>Propane</t>
  </si>
  <si>
    <t>Grease</t>
  </si>
  <si>
    <t>for flame weeder and greenhouses</t>
  </si>
  <si>
    <t>Farmers market insurance</t>
  </si>
  <si>
    <t>Lawn mower</t>
  </si>
  <si>
    <t>Weed whacker</t>
  </si>
  <si>
    <t>Electric wire</t>
  </si>
  <si>
    <t>Fence battery</t>
  </si>
  <si>
    <t>Seed flats</t>
  </si>
  <si>
    <t>Seed tables</t>
  </si>
  <si>
    <t>Cinderblocks</t>
  </si>
  <si>
    <t>Irrigation parts</t>
  </si>
  <si>
    <t>business cards</t>
  </si>
  <si>
    <t>Farmers market display</t>
  </si>
  <si>
    <t>Farmers Market Application Fee</t>
  </si>
  <si>
    <t>Insulators</t>
  </si>
  <si>
    <t>25 per pack</t>
  </si>
  <si>
    <t>8' t-post</t>
  </si>
  <si>
    <t>American Farmworks 10-mile solar low impedance fence charger</t>
  </si>
  <si>
    <t>Polywire (1320 feet)</t>
  </si>
  <si>
    <t>Rubber gate handle</t>
  </si>
  <si>
    <t>Spring loaded rubber gate handle</t>
  </si>
  <si>
    <t>ramps for BCS</t>
  </si>
  <si>
    <t>Revenue source</t>
  </si>
  <si>
    <t>Clintonville FM (CFM)</t>
  </si>
  <si>
    <t>Linden FM (LFM)</t>
  </si>
  <si>
    <t>Projected income</t>
  </si>
  <si>
    <t>Subtotal</t>
  </si>
  <si>
    <t>Total sale</t>
  </si>
  <si>
    <t>Market type (CFM, LFM, CSA, restaurants)</t>
  </si>
  <si>
    <t>Additional notes</t>
  </si>
  <si>
    <t>Notes</t>
  </si>
  <si>
    <t>Location</t>
  </si>
  <si>
    <t>Agritape heat mat 22"x8'</t>
  </si>
  <si>
    <t>YTD grant expenditure</t>
  </si>
  <si>
    <t>Plumber</t>
  </si>
  <si>
    <t>install water at New Salem</t>
  </si>
  <si>
    <t>YTD farm cost</t>
  </si>
  <si>
    <t>Extension Cord prong</t>
  </si>
  <si>
    <t>Cash in:</t>
  </si>
  <si>
    <t>Farmers' Market</t>
  </si>
  <si>
    <t>Wholesale</t>
  </si>
  <si>
    <t>No. of customers</t>
  </si>
  <si>
    <t>CSA subtotal</t>
  </si>
  <si>
    <t>FM subtotal</t>
  </si>
  <si>
    <t>No. of orders</t>
  </si>
  <si>
    <t>Average value of order</t>
  </si>
  <si>
    <t>Wholesale subtotal</t>
  </si>
  <si>
    <t>Total cash in:</t>
  </si>
  <si>
    <t>Jan projected</t>
  </si>
  <si>
    <t>Jan actual</t>
  </si>
  <si>
    <t>Feb projected</t>
  </si>
  <si>
    <t>Feb actual</t>
  </si>
  <si>
    <t>Cash out:</t>
  </si>
  <si>
    <t>Projected total 2019</t>
  </si>
  <si>
    <t>YTD amount spent</t>
  </si>
  <si>
    <t>Ink for printer</t>
  </si>
  <si>
    <t>Marcie</t>
  </si>
  <si>
    <t>Tracey</t>
  </si>
  <si>
    <t>Apr projected</t>
  </si>
  <si>
    <t>Apr actual</t>
  </si>
  <si>
    <t>May projected</t>
  </si>
  <si>
    <t>May actual</t>
  </si>
  <si>
    <t>June projected</t>
  </si>
  <si>
    <t>June actual</t>
  </si>
  <si>
    <t>July projected</t>
  </si>
  <si>
    <t>July actual</t>
  </si>
  <si>
    <t>Aug projected</t>
  </si>
  <si>
    <t>Aug actual</t>
  </si>
  <si>
    <t>Sept projected</t>
  </si>
  <si>
    <t>Sept actual</t>
  </si>
  <si>
    <t>Oct projected</t>
  </si>
  <si>
    <t>Oct actual</t>
  </si>
  <si>
    <t>Nov projected</t>
  </si>
  <si>
    <t>Nov actual</t>
  </si>
  <si>
    <t>Dec projected</t>
  </si>
  <si>
    <t>Dec actual</t>
  </si>
  <si>
    <t>Mileage</t>
  </si>
  <si>
    <t>Mar projected</t>
  </si>
  <si>
    <t>Mar actual</t>
  </si>
  <si>
    <t>Year end projected</t>
  </si>
  <si>
    <t>Amt paid</t>
  </si>
  <si>
    <t>Months</t>
  </si>
  <si>
    <t>Year end actual</t>
  </si>
  <si>
    <t>Clintonville (CFM)</t>
  </si>
  <si>
    <t>Linden (LFM)</t>
  </si>
  <si>
    <t>starting cash</t>
  </si>
  <si>
    <t>Car</t>
  </si>
  <si>
    <t>Conservation</t>
  </si>
  <si>
    <t>Custom</t>
  </si>
  <si>
    <t>Employee</t>
  </si>
  <si>
    <t>Fertilizers</t>
  </si>
  <si>
    <t>Freight</t>
  </si>
  <si>
    <t>Labor</t>
  </si>
  <si>
    <t>Pension</t>
  </si>
  <si>
    <t>Rent</t>
  </si>
  <si>
    <t>Repairs</t>
  </si>
  <si>
    <t>Seeds</t>
  </si>
  <si>
    <t>Storage</t>
  </si>
  <si>
    <t>Other</t>
  </si>
  <si>
    <t>Heat cords</t>
  </si>
  <si>
    <t>MOF grant</t>
  </si>
  <si>
    <t>Grant subtotal</t>
  </si>
  <si>
    <t>Sand</t>
  </si>
  <si>
    <t>Gas for equipment</t>
  </si>
  <si>
    <t>Receipt</t>
  </si>
  <si>
    <t>Purchaser (only if personal expense)</t>
  </si>
  <si>
    <t xml:space="preserve">Cash balance (monthly basis): </t>
  </si>
  <si>
    <t>Farm liability insurance/ Truck/ Farmer's Market</t>
  </si>
  <si>
    <t>hay</t>
  </si>
  <si>
    <t>Bucket</t>
  </si>
  <si>
    <t>Potting soil</t>
  </si>
  <si>
    <t>ice</t>
  </si>
  <si>
    <t>seedling cups</t>
  </si>
  <si>
    <t>Bone meal</t>
  </si>
  <si>
    <t>compost bags</t>
  </si>
  <si>
    <t>paper bags</t>
  </si>
  <si>
    <t>These months are used in the date formulas in the cashflow sheet</t>
  </si>
  <si>
    <t xml:space="preserve">  Price  </t>
  </si>
  <si>
    <t xml:space="preserve">  For What  </t>
  </si>
  <si>
    <t>business meal</t>
  </si>
  <si>
    <t>gate wheels</t>
  </si>
  <si>
    <t>Diatomaceous earth</t>
  </si>
  <si>
    <t>ice packs</t>
  </si>
  <si>
    <t>pressure washer</t>
  </si>
  <si>
    <t>Farmers Market Rental Fee</t>
  </si>
  <si>
    <t>Backflow test</t>
  </si>
  <si>
    <t>Projected expenses</t>
  </si>
  <si>
    <t>YTD actual expenses</t>
  </si>
  <si>
    <t>Week</t>
  </si>
  <si>
    <t>Month</t>
  </si>
  <si>
    <t>Driver</t>
  </si>
  <si>
    <t>Starting mileage (monthly)</t>
  </si>
  <si>
    <t>Ending mileage (monthly)</t>
  </si>
  <si>
    <t>Total mileage (monthly)</t>
  </si>
  <si>
    <t>Exact expense (monthly receipt total)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</si>
  <si>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</si>
  <si>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</si>
  <si>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</si>
  <si>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</si>
  <si>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</si>
  <si>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</si>
  <si>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</si>
  <si>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</si>
  <si>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</si>
  <si>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</si>
  <si>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</si>
  <si>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</si>
  <si>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Receipt date</t>
  </si>
  <si>
    <t xml:space="preserve"> Cost </t>
  </si>
  <si>
    <t>at $.58/mi</t>
  </si>
  <si>
    <t>enter your number here</t>
  </si>
  <si>
    <t>Weekly hours worked</t>
  </si>
  <si>
    <t>Water bill</t>
  </si>
  <si>
    <t>Our cashflow numbers were just an educated guess at the start of the season. After filling out our expenses for a full year, we have a much better idea of when our biggest expenses will occur and can update our projections accordingly.</t>
  </si>
  <si>
    <t>Monthly mileage records. Record the starting and ending odometer reading for each vehicle each month. To understand the expenses of separate drivers, enter the initial of the purchaser/driver next to each receipt in the chart below. Column A (month abbreviation) will update automatically based upon the date you enter in Column B. This record will update the exact gas cost each month for each driver.</t>
  </si>
  <si>
    <t>worker 2</t>
  </si>
  <si>
    <t>worker 1</t>
  </si>
  <si>
    <t>driver 1</t>
  </si>
  <si>
    <t>driver 2</t>
  </si>
  <si>
    <t>driver 1 or 2 (just enter 1 or 2)</t>
  </si>
  <si>
    <t>NS wash/pack</t>
  </si>
  <si>
    <t>M wash/pack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</si>
</sst>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_-[$$-409]* #,##0.00_ ;_-[$$-409]* \-#,##0.00\ ;_-[$$-409]* &quot;-&quot;??_ ;_-@_ "/>
    <numFmt numFmtId="167" formatCode="[$-409]d\-mmm;@"/>
    <numFmt numFmtId="168" formatCode="&quot;$&quot;#,##0.00_);[Red]\(&quot;$&quot;#,##0.00\)"/>
  </numFmts>
  <fonts count="1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theme="1"/>
      <name val="Calibri"/>
      <scheme val="minor"/>
    </font>
    <font>
      <sz val="8"/>
      <name val="Calibri"/>
      <family val="2"/>
      <scheme val="minor"/>
    </font>
    <font>
      <i/>
      <sz val="12"/>
      <color theme="1"/>
      <name val="Calibri"/>
      <scheme val="minor"/>
    </font>
    <font>
      <sz val="12"/>
      <name val="Calibri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lightUp">
        <fgColor theme="0" tint="-0.14999847407452621"/>
        <bgColor theme="4" tint="0.79998168889431442"/>
      </patternFill>
    </fill>
    <fill>
      <patternFill patternType="solid">
        <fgColor theme="6" tint="0.39997558519241921"/>
        <bgColor theme="0" tint="-0.14999847407452621"/>
      </patternFill>
    </fill>
    <fill>
      <patternFill patternType="solid">
        <fgColor theme="9" tint="0.59999389629810485"/>
        <bgColor theme="0" tint="-0.149998474074526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theme="0" tint="-0.14999847407452621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theme="0" tint="-0.1499984740745262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DCE6F1"/>
        <bgColor rgb="FF000000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010">
    <xf numFmtId="0" fontId="0" fillId="0" borderId="0"/>
    <xf numFmtId="164" fontId="2" fillId="0" borderId="0" applyFont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78">
    <xf numFmtId="0" fontId="0" fillId="0" borderId="0" xfId="0"/>
    <xf numFmtId="164" fontId="0" fillId="0" borderId="0" xfId="1" applyFont="1"/>
    <xf numFmtId="0" fontId="4" fillId="0" borderId="0" xfId="0" applyFont="1"/>
    <xf numFmtId="0" fontId="4" fillId="0" borderId="0" xfId="0" applyFont="1" applyAlignment="1">
      <alignment horizontal="right"/>
    </xf>
    <xf numFmtId="0" fontId="0" fillId="0" borderId="0" xfId="0" applyFill="1"/>
    <xf numFmtId="0" fontId="7" fillId="0" borderId="0" xfId="0" applyFont="1" applyFill="1" applyBorder="1"/>
    <xf numFmtId="164" fontId="7" fillId="0" borderId="0" xfId="0" applyNumberFormat="1" applyFont="1" applyFill="1" applyBorder="1"/>
    <xf numFmtId="0" fontId="8" fillId="2" borderId="0" xfId="0" applyFont="1" applyFill="1" applyBorder="1" applyAlignment="1">
      <alignment horizontal="center"/>
    </xf>
    <xf numFmtId="164" fontId="8" fillId="2" borderId="0" xfId="0" applyNumberFormat="1" applyFont="1" applyFill="1" applyBorder="1" applyAlignment="1">
      <alignment horizontal="center"/>
    </xf>
    <xf numFmtId="165" fontId="7" fillId="0" borderId="0" xfId="0" applyNumberFormat="1" applyFont="1" applyFill="1" applyBorder="1"/>
    <xf numFmtId="165" fontId="0" fillId="0" borderId="0" xfId="0" applyNumberFormat="1" applyFill="1" applyBorder="1"/>
    <xf numFmtId="165" fontId="4" fillId="0" borderId="0" xfId="0" applyNumberFormat="1" applyFont="1"/>
    <xf numFmtId="44" fontId="0" fillId="0" borderId="0" xfId="0" applyNumberFormat="1"/>
    <xf numFmtId="0" fontId="7" fillId="0" borderId="0" xfId="0" applyFont="1"/>
    <xf numFmtId="164" fontId="7" fillId="0" borderId="0" xfId="0" applyNumberFormat="1" applyFont="1"/>
    <xf numFmtId="165" fontId="7" fillId="0" borderId="0" xfId="0" applyNumberFormat="1" applyFont="1"/>
    <xf numFmtId="0" fontId="8" fillId="0" borderId="0" xfId="0" applyFont="1" applyAlignment="1">
      <alignment horizontal="right"/>
    </xf>
    <xf numFmtId="0" fontId="8" fillId="0" borderId="0" xfId="0" applyFont="1"/>
    <xf numFmtId="165" fontId="8" fillId="0" borderId="0" xfId="0" applyNumberFormat="1" applyFont="1"/>
    <xf numFmtId="0" fontId="0" fillId="0" borderId="0" xfId="0" applyBorder="1"/>
    <xf numFmtId="164" fontId="0" fillId="0" borderId="0" xfId="1" applyFont="1" applyBorder="1"/>
    <xf numFmtId="164" fontId="0" fillId="0" borderId="0" xfId="0" applyNumberFormat="1" applyBorder="1"/>
    <xf numFmtId="164" fontId="0" fillId="0" borderId="0" xfId="1" applyFont="1" applyFill="1" applyBorder="1"/>
    <xf numFmtId="0" fontId="8" fillId="0" borderId="0" xfId="0" applyFont="1" applyFill="1" applyBorder="1" applyAlignment="1">
      <alignment horizontal="center"/>
    </xf>
    <xf numFmtId="164" fontId="8" fillId="0" borderId="0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center"/>
    </xf>
    <xf numFmtId="44" fontId="0" fillId="0" borderId="0" xfId="0" applyNumberFormat="1" applyBorder="1"/>
    <xf numFmtId="164" fontId="7" fillId="0" borderId="0" xfId="0" applyNumberFormat="1" applyFont="1" applyBorder="1"/>
    <xf numFmtId="0" fontId="8" fillId="0" borderId="0" xfId="0" applyFont="1" applyFill="1" applyBorder="1"/>
    <xf numFmtId="0" fontId="0" fillId="0" borderId="0" xfId="0" applyFill="1" applyBorder="1"/>
    <xf numFmtId="164" fontId="0" fillId="0" borderId="0" xfId="0" applyNumberFormat="1" applyFill="1" applyBorder="1"/>
    <xf numFmtId="0" fontId="8" fillId="0" borderId="0" xfId="0" applyFont="1" applyFill="1" applyBorder="1" applyAlignment="1">
      <alignment horizontal="left"/>
    </xf>
    <xf numFmtId="0" fontId="0" fillId="0" borderId="0" xfId="0" applyBorder="1" applyAlignment="1">
      <alignment horizontal="right"/>
    </xf>
    <xf numFmtId="0" fontId="4" fillId="0" borderId="0" xfId="0" applyFont="1" applyBorder="1" applyAlignment="1">
      <alignment horizontal="left"/>
    </xf>
    <xf numFmtId="164" fontId="4" fillId="0" borderId="0" xfId="1" applyFont="1" applyBorder="1" applyAlignment="1">
      <alignment horizontal="left"/>
    </xf>
    <xf numFmtId="164" fontId="4" fillId="0" borderId="0" xfId="0" applyNumberFormat="1" applyFont="1" applyBorder="1" applyAlignment="1">
      <alignment horizontal="left"/>
    </xf>
    <xf numFmtId="0" fontId="4" fillId="0" borderId="0" xfId="0" applyFont="1" applyBorder="1"/>
    <xf numFmtId="0" fontId="4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right"/>
    </xf>
    <xf numFmtId="164" fontId="7" fillId="0" borderId="0" xfId="0" applyNumberFormat="1" applyFont="1" applyFill="1" applyBorder="1" applyAlignment="1">
      <alignment horizontal="center"/>
    </xf>
    <xf numFmtId="44" fontId="7" fillId="0" borderId="0" xfId="0" applyNumberFormat="1" applyFont="1" applyFill="1" applyBorder="1" applyAlignment="1">
      <alignment horizontal="center"/>
    </xf>
    <xf numFmtId="0" fontId="7" fillId="0" borderId="0" xfId="0" applyFont="1" applyBorder="1" applyAlignment="1">
      <alignment horizontal="right"/>
    </xf>
    <xf numFmtId="0" fontId="7" fillId="0" borderId="0" xfId="0" applyFont="1" applyBorder="1"/>
    <xf numFmtId="0" fontId="0" fillId="0" borderId="0" xfId="0" applyNumberFormat="1"/>
    <xf numFmtId="44" fontId="0" fillId="0" borderId="0" xfId="0" applyNumberFormat="1" applyFill="1"/>
    <xf numFmtId="0" fontId="7" fillId="0" borderId="0" xfId="0" applyFont="1" applyFill="1" applyBorder="1" applyAlignment="1">
      <alignment horizontal="left"/>
    </xf>
    <xf numFmtId="44" fontId="7" fillId="0" borderId="0" xfId="0" applyNumberFormat="1" applyFont="1" applyFill="1" applyBorder="1" applyAlignment="1">
      <alignment horizontal="left"/>
    </xf>
    <xf numFmtId="0" fontId="0" fillId="0" borderId="0" xfId="0" applyAlignment="1">
      <alignment horizontal="right"/>
    </xf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wrapText="1"/>
    </xf>
    <xf numFmtId="44" fontId="4" fillId="2" borderId="0" xfId="0" applyNumberFormat="1" applyFont="1" applyFill="1" applyAlignment="1">
      <alignment horizontal="center" wrapText="1"/>
    </xf>
    <xf numFmtId="0" fontId="0" fillId="0" borderId="0" xfId="0" applyFill="1" applyAlignment="1">
      <alignment horizontal="center" wrapText="1"/>
    </xf>
    <xf numFmtId="0" fontId="8" fillId="2" borderId="0" xfId="0" applyFont="1" applyFill="1"/>
    <xf numFmtId="0" fontId="8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4" fillId="2" borderId="0" xfId="0" applyFont="1" applyFill="1" applyAlignment="1">
      <alignment horizontal="right"/>
    </xf>
    <xf numFmtId="164" fontId="4" fillId="2" borderId="0" xfId="1" applyFont="1" applyFill="1" applyAlignment="1">
      <alignment horizontal="left"/>
    </xf>
    <xf numFmtId="164" fontId="4" fillId="2" borderId="0" xfId="1" applyFont="1" applyFill="1"/>
    <xf numFmtId="0" fontId="9" fillId="0" borderId="0" xfId="0" applyFont="1" applyAlignment="1">
      <alignment horizontal="right"/>
    </xf>
    <xf numFmtId="164" fontId="3" fillId="0" borderId="0" xfId="1" applyFont="1"/>
    <xf numFmtId="164" fontId="4" fillId="0" borderId="0" xfId="1" applyFont="1"/>
    <xf numFmtId="0" fontId="8" fillId="3" borderId="0" xfId="0" applyFont="1" applyFill="1" applyAlignment="1">
      <alignment horizontal="center"/>
    </xf>
    <xf numFmtId="0" fontId="0" fillId="0" borderId="0" xfId="0" applyFont="1" applyAlignment="1">
      <alignment horizontal="right"/>
    </xf>
    <xf numFmtId="0" fontId="0" fillId="4" borderId="0" xfId="0" applyFill="1"/>
    <xf numFmtId="0" fontId="4" fillId="4" borderId="0" xfId="0" applyFont="1" applyFill="1"/>
    <xf numFmtId="0" fontId="0" fillId="5" borderId="0" xfId="0" applyFill="1"/>
    <xf numFmtId="0" fontId="4" fillId="5" borderId="0" xfId="0" applyFont="1" applyFill="1"/>
    <xf numFmtId="164" fontId="4" fillId="0" borderId="0" xfId="1" applyFont="1" applyAlignment="1">
      <alignment horizontal="right"/>
    </xf>
    <xf numFmtId="164" fontId="0" fillId="0" borderId="0" xfId="1" quotePrefix="1" applyFont="1"/>
    <xf numFmtId="164" fontId="0" fillId="0" borderId="0" xfId="0" applyNumberFormat="1"/>
    <xf numFmtId="0" fontId="0" fillId="0" borderId="0" xfId="0" applyFill="1" applyAlignment="1">
      <alignment horizontal="center"/>
    </xf>
    <xf numFmtId="0" fontId="4" fillId="0" borderId="0" xfId="0" applyFont="1" applyFill="1"/>
    <xf numFmtId="0" fontId="0" fillId="0" borderId="0" xfId="0" applyFont="1" applyFill="1"/>
    <xf numFmtId="0" fontId="0" fillId="2" borderId="0" xfId="0" applyFill="1"/>
    <xf numFmtId="0" fontId="4" fillId="2" borderId="0" xfId="0" applyFont="1" applyFill="1" applyAlignment="1">
      <alignment wrapText="1"/>
    </xf>
    <xf numFmtId="164" fontId="4" fillId="4" borderId="0" xfId="1" applyFont="1" applyFill="1"/>
    <xf numFmtId="164" fontId="0" fillId="0" borderId="0" xfId="1" applyFont="1" applyFill="1"/>
    <xf numFmtId="164" fontId="4" fillId="5" borderId="0" xfId="1" applyFont="1" applyFill="1"/>
    <xf numFmtId="164" fontId="4" fillId="2" borderId="0" xfId="1" applyFont="1" applyFill="1" applyAlignment="1">
      <alignment horizontal="right"/>
    </xf>
    <xf numFmtId="0" fontId="4" fillId="0" borderId="0" xfId="0" applyFont="1" applyFill="1" applyAlignment="1">
      <alignment horizontal="right"/>
    </xf>
    <xf numFmtId="0" fontId="0" fillId="0" borderId="0" xfId="0" applyFont="1" applyFill="1" applyAlignment="1">
      <alignment horizontal="right"/>
    </xf>
    <xf numFmtId="164" fontId="0" fillId="2" borderId="0" xfId="1" applyFont="1" applyFill="1"/>
    <xf numFmtId="0" fontId="0" fillId="0" borderId="0" xfId="0" applyNumberFormat="1" applyFont="1" applyAlignment="1">
      <alignment horizontal="right"/>
    </xf>
    <xf numFmtId="167" fontId="4" fillId="2" borderId="0" xfId="0" applyNumberFormat="1" applyFont="1" applyFill="1" applyAlignment="1">
      <alignment horizontal="center" wrapText="1"/>
    </xf>
    <xf numFmtId="167" fontId="0" fillId="0" borderId="0" xfId="0" applyNumberFormat="1"/>
    <xf numFmtId="0" fontId="0" fillId="0" borderId="0" xfId="1" applyNumberFormat="1" applyFont="1"/>
    <xf numFmtId="0" fontId="0" fillId="0" borderId="0" xfId="1" applyNumberFormat="1" applyFont="1" applyAlignment="1">
      <alignment horizontal="center"/>
    </xf>
    <xf numFmtId="0" fontId="4" fillId="6" borderId="0" xfId="0" applyFont="1" applyFill="1" applyAlignment="1">
      <alignment wrapText="1"/>
    </xf>
    <xf numFmtId="0" fontId="0" fillId="6" borderId="0" xfId="0" applyFill="1"/>
    <xf numFmtId="164" fontId="0" fillId="6" borderId="0" xfId="1" applyFont="1" applyFill="1"/>
    <xf numFmtId="0" fontId="0" fillId="6" borderId="0" xfId="0" applyNumberFormat="1" applyFill="1"/>
    <xf numFmtId="0" fontId="4" fillId="6" borderId="0" xfId="0" applyFont="1" applyFill="1"/>
    <xf numFmtId="0" fontId="0" fillId="6" borderId="0" xfId="1" applyNumberFormat="1" applyFont="1" applyFill="1" applyAlignment="1">
      <alignment horizontal="center"/>
    </xf>
    <xf numFmtId="0" fontId="0" fillId="7" borderId="0" xfId="0" applyFill="1"/>
    <xf numFmtId="164" fontId="2" fillId="6" borderId="0" xfId="1" applyFont="1" applyFill="1"/>
    <xf numFmtId="0" fontId="2" fillId="6" borderId="0" xfId="1" applyNumberFormat="1" applyFont="1" applyFill="1"/>
    <xf numFmtId="0" fontId="2" fillId="6" borderId="0" xfId="1" applyNumberFormat="1" applyFont="1" applyFill="1" applyAlignment="1">
      <alignment horizontal="center"/>
    </xf>
    <xf numFmtId="164" fontId="2" fillId="9" borderId="0" xfId="1" applyFont="1" applyFill="1"/>
    <xf numFmtId="0" fontId="4" fillId="6" borderId="0" xfId="0" applyNumberFormat="1" applyFont="1" applyFill="1" applyAlignment="1">
      <alignment wrapText="1"/>
    </xf>
    <xf numFmtId="0" fontId="0" fillId="6" borderId="0" xfId="0" applyNumberFormat="1" applyFont="1" applyFill="1"/>
    <xf numFmtId="0" fontId="0" fillId="7" borderId="0" xfId="0" applyNumberFormat="1" applyFont="1" applyFill="1"/>
    <xf numFmtId="0" fontId="4" fillId="6" borderId="0" xfId="0" applyNumberFormat="1" applyFont="1" applyFill="1"/>
    <xf numFmtId="0" fontId="2" fillId="6" borderId="0" xfId="1" applyNumberFormat="1" applyFont="1" applyFill="1" applyAlignment="1">
      <alignment horizontal="right"/>
    </xf>
    <xf numFmtId="164" fontId="0" fillId="7" borderId="0" xfId="0" applyNumberFormat="1" applyFont="1" applyFill="1"/>
    <xf numFmtId="0" fontId="0" fillId="6" borderId="0" xfId="0" applyFont="1" applyFill="1"/>
    <xf numFmtId="0" fontId="0" fillId="7" borderId="0" xfId="0" applyFont="1" applyFill="1"/>
    <xf numFmtId="164" fontId="4" fillId="4" borderId="0" xfId="0" applyNumberFormat="1" applyFont="1" applyFill="1"/>
    <xf numFmtId="164" fontId="0" fillId="7" borderId="0" xfId="0" applyNumberFormat="1" applyFill="1"/>
    <xf numFmtId="0" fontId="4" fillId="8" borderId="0" xfId="0" applyNumberFormat="1" applyFont="1" applyFill="1"/>
    <xf numFmtId="0" fontId="4" fillId="8" borderId="0" xfId="0" applyFont="1" applyFill="1"/>
    <xf numFmtId="164" fontId="4" fillId="9" borderId="0" xfId="1" applyFont="1" applyFill="1" applyAlignment="1">
      <alignment horizontal="right"/>
    </xf>
    <xf numFmtId="164" fontId="4" fillId="9" borderId="0" xfId="1" applyFont="1" applyFill="1"/>
    <xf numFmtId="164" fontId="0" fillId="9" borderId="0" xfId="1" applyFont="1" applyFill="1"/>
    <xf numFmtId="164" fontId="4" fillId="2" borderId="0" xfId="0" applyNumberFormat="1" applyFont="1" applyFill="1"/>
    <xf numFmtId="0" fontId="11" fillId="0" borderId="0" xfId="0" applyFont="1" applyAlignment="1">
      <alignment horizontal="right"/>
    </xf>
    <xf numFmtId="0" fontId="4" fillId="10" borderId="0" xfId="0" applyFont="1" applyFill="1" applyAlignment="1">
      <alignment horizontal="center" wrapText="1"/>
    </xf>
    <xf numFmtId="167" fontId="0" fillId="10" borderId="0" xfId="0" applyNumberFormat="1" applyFill="1"/>
    <xf numFmtId="16" fontId="0" fillId="10" borderId="0" xfId="0" applyNumberFormat="1" applyFill="1"/>
    <xf numFmtId="164" fontId="0" fillId="0" borderId="0" xfId="1" applyFont="1" applyFill="1" applyAlignment="1">
      <alignment horizontal="right"/>
    </xf>
    <xf numFmtId="164" fontId="4" fillId="5" borderId="0" xfId="0" applyNumberFormat="1" applyFont="1" applyFill="1"/>
    <xf numFmtId="164" fontId="0" fillId="8" borderId="0" xfId="0" applyNumberFormat="1" applyFont="1" applyFill="1"/>
    <xf numFmtId="164" fontId="4" fillId="0" borderId="0" xfId="0" applyNumberFormat="1" applyFont="1" applyFill="1"/>
    <xf numFmtId="164" fontId="0" fillId="6" borderId="0" xfId="0" applyNumberFormat="1" applyFont="1" applyFill="1"/>
    <xf numFmtId="164" fontId="0" fillId="11" borderId="0" xfId="1" applyFont="1" applyFill="1"/>
    <xf numFmtId="164" fontId="0" fillId="11" borderId="0" xfId="1" applyFont="1" applyFill="1" applyAlignment="1">
      <alignment horizontal="right"/>
    </xf>
    <xf numFmtId="164" fontId="0" fillId="6" borderId="0" xfId="0" applyNumberFormat="1" applyFill="1"/>
    <xf numFmtId="164" fontId="0" fillId="12" borderId="0" xfId="1" applyFont="1" applyFill="1"/>
    <xf numFmtId="0" fontId="0" fillId="0" borderId="0" xfId="0" applyNumberFormat="1" applyFont="1" applyFill="1" applyBorder="1"/>
    <xf numFmtId="0" fontId="0" fillId="0" borderId="0" xfId="0" applyFont="1" applyFill="1" applyBorder="1"/>
    <xf numFmtId="1" fontId="7" fillId="0" borderId="0" xfId="0" applyNumberFormat="1" applyFont="1" applyFill="1" applyBorder="1"/>
    <xf numFmtId="1" fontId="0" fillId="0" borderId="0" xfId="0" applyNumberFormat="1"/>
    <xf numFmtId="164" fontId="4" fillId="6" borderId="0" xfId="1" applyFont="1" applyFill="1" applyAlignment="1">
      <alignment horizontal="center" wrapText="1"/>
    </xf>
    <xf numFmtId="164" fontId="2" fillId="6" borderId="0" xfId="1" applyFont="1" applyFill="1" applyAlignment="1">
      <alignment horizontal="center"/>
    </xf>
    <xf numFmtId="164" fontId="2" fillId="7" borderId="0" xfId="1" applyFont="1" applyFill="1" applyAlignment="1">
      <alignment horizontal="center"/>
    </xf>
    <xf numFmtId="164" fontId="4" fillId="9" borderId="0" xfId="1" applyFont="1" applyFill="1" applyAlignment="1">
      <alignment horizontal="center"/>
    </xf>
    <xf numFmtId="164" fontId="2" fillId="12" borderId="0" xfId="1" applyFont="1" applyFill="1" applyAlignment="1">
      <alignment horizontal="center"/>
    </xf>
    <xf numFmtId="164" fontId="2" fillId="8" borderId="0" xfId="1" applyFont="1" applyFill="1" applyAlignment="1">
      <alignment horizontal="center"/>
    </xf>
    <xf numFmtId="164" fontId="4" fillId="8" borderId="0" xfId="1" applyFont="1" applyFill="1" applyAlignment="1">
      <alignment horizontal="center"/>
    </xf>
    <xf numFmtId="164" fontId="2" fillId="0" borderId="0" xfId="1" applyFont="1" applyFill="1" applyBorder="1" applyAlignment="1">
      <alignment horizontal="center"/>
    </xf>
    <xf numFmtId="164" fontId="2" fillId="6" borderId="0" xfId="1" applyFont="1" applyFill="1" applyAlignment="1">
      <alignment horizontal="right"/>
    </xf>
    <xf numFmtId="164" fontId="2" fillId="9" borderId="0" xfId="1" applyFont="1" applyFill="1" applyAlignment="1">
      <alignment horizontal="right"/>
    </xf>
    <xf numFmtId="164" fontId="4" fillId="6" borderId="0" xfId="1" applyFont="1" applyFill="1" applyAlignment="1">
      <alignment horizontal="right"/>
    </xf>
    <xf numFmtId="0" fontId="0" fillId="0" borderId="0" xfId="0" applyNumberFormat="1" applyFill="1" applyAlignment="1">
      <alignment horizontal="left" vertical="center"/>
    </xf>
    <xf numFmtId="164" fontId="2" fillId="0" borderId="0" xfId="1" applyFont="1" applyFill="1" applyAlignment="1">
      <alignment horizontal="center"/>
    </xf>
    <xf numFmtId="164" fontId="4" fillId="0" borderId="0" xfId="0" applyNumberFormat="1" applyFont="1"/>
    <xf numFmtId="0" fontId="0" fillId="0" borderId="0" xfId="0" applyNumberFormat="1" applyFill="1" applyAlignment="1"/>
    <xf numFmtId="164" fontId="0" fillId="13" borderId="0" xfId="1" applyFont="1" applyFill="1"/>
    <xf numFmtId="164" fontId="4" fillId="10" borderId="0" xfId="1" applyFont="1" applyFill="1" applyAlignment="1">
      <alignment vertical="center" wrapText="1"/>
    </xf>
    <xf numFmtId="164" fontId="4" fillId="14" borderId="0" xfId="1" applyFont="1" applyFill="1" applyAlignment="1">
      <alignment horizontal="center" vertical="center" wrapText="1"/>
    </xf>
    <xf numFmtId="164" fontId="4" fillId="14" borderId="0" xfId="1" applyFont="1" applyFill="1" applyAlignment="1">
      <alignment vertical="center" wrapText="1"/>
    </xf>
    <xf numFmtId="164" fontId="4" fillId="8" borderId="0" xfId="0" applyNumberFormat="1" applyFont="1" applyFill="1"/>
    <xf numFmtId="16" fontId="0" fillId="0" borderId="0" xfId="0" applyNumberFormat="1" applyFill="1" applyBorder="1"/>
    <xf numFmtId="16" fontId="0" fillId="0" borderId="0" xfId="0" applyNumberFormat="1" applyFill="1"/>
    <xf numFmtId="0" fontId="0" fillId="0" borderId="0" xfId="0" applyFill="1" applyAlignment="1">
      <alignment horizontal="left"/>
    </xf>
    <xf numFmtId="16" fontId="7" fillId="0" borderId="0" xfId="0" applyNumberFormat="1" applyFont="1"/>
    <xf numFmtId="0" fontId="7" fillId="0" borderId="0" xfId="0" applyFont="1" applyAlignment="1">
      <alignment horizontal="center"/>
    </xf>
    <xf numFmtId="164" fontId="1" fillId="0" borderId="0" xfId="1" applyFont="1" applyFill="1" applyAlignment="1">
      <alignment horizontal="center"/>
    </xf>
    <xf numFmtId="167" fontId="0" fillId="0" borderId="0" xfId="0" applyNumberFormat="1" applyFill="1"/>
    <xf numFmtId="0" fontId="12" fillId="0" borderId="0" xfId="0" applyFont="1" applyFill="1" applyAlignment="1">
      <alignment horizontal="center"/>
    </xf>
    <xf numFmtId="16" fontId="0" fillId="0" borderId="0" xfId="0" applyNumberFormat="1" applyFill="1" applyAlignment="1">
      <alignment horizontal="right"/>
    </xf>
    <xf numFmtId="0" fontId="7" fillId="0" borderId="0" xfId="0" applyFont="1" applyFill="1" applyAlignment="1">
      <alignment horizontal="center"/>
    </xf>
    <xf numFmtId="0" fontId="0" fillId="0" borderId="0" xfId="0" applyFill="1" applyAlignment="1">
      <alignment horizontal="right"/>
    </xf>
    <xf numFmtId="167" fontId="12" fillId="0" borderId="0" xfId="0" applyNumberFormat="1" applyFont="1" applyFill="1"/>
    <xf numFmtId="164" fontId="12" fillId="0" borderId="0" xfId="1" applyFont="1" applyFill="1"/>
    <xf numFmtId="0" fontId="4" fillId="0" borderId="0" xfId="0" applyFont="1" applyFill="1" applyAlignment="1">
      <alignment horizontal="center" wrapText="1"/>
    </xf>
    <xf numFmtId="164" fontId="4" fillId="2" borderId="0" xfId="1" applyFont="1" applyFill="1" applyAlignment="1">
      <alignment horizontal="center" wrapText="1"/>
    </xf>
    <xf numFmtId="164" fontId="8" fillId="3" borderId="0" xfId="0" applyNumberFormat="1" applyFont="1" applyFill="1" applyAlignment="1">
      <alignment horizontal="center"/>
    </xf>
    <xf numFmtId="164" fontId="7" fillId="0" borderId="0" xfId="0" applyNumberFormat="1" applyFont="1" applyFill="1" applyBorder="1" applyAlignment="1">
      <alignment horizontal="right"/>
    </xf>
    <xf numFmtId="165" fontId="4" fillId="2" borderId="0" xfId="0" applyNumberFormat="1" applyFont="1" applyFill="1"/>
    <xf numFmtId="0" fontId="8" fillId="3" borderId="0" xfId="0" applyFont="1" applyFill="1" applyAlignment="1">
      <alignment horizontal="center" wrapText="1"/>
    </xf>
    <xf numFmtId="44" fontId="4" fillId="2" borderId="0" xfId="0" applyNumberFormat="1" applyFont="1" applyFill="1" applyAlignment="1">
      <alignment horizontal="center"/>
    </xf>
    <xf numFmtId="44" fontId="4" fillId="2" borderId="0" xfId="0" applyNumberFormat="1" applyFont="1" applyFill="1" applyAlignment="1">
      <alignment horizontal="left"/>
    </xf>
    <xf numFmtId="164" fontId="0" fillId="2" borderId="0" xfId="1" applyFont="1" applyFill="1" applyBorder="1"/>
    <xf numFmtId="0" fontId="4" fillId="2" borderId="0" xfId="0" applyFont="1" applyFill="1" applyBorder="1" applyAlignment="1">
      <alignment horizontal="right"/>
    </xf>
    <xf numFmtId="0" fontId="0" fillId="2" borderId="0" xfId="0" applyFill="1" applyBorder="1"/>
    <xf numFmtId="44" fontId="4" fillId="2" borderId="0" xfId="0" applyNumberFormat="1" applyFont="1" applyFill="1" applyBorder="1" applyAlignment="1">
      <alignment horizontal="left"/>
    </xf>
    <xf numFmtId="44" fontId="4" fillId="2" borderId="0" xfId="0" applyNumberFormat="1" applyFont="1" applyFill="1"/>
    <xf numFmtId="2" fontId="4" fillId="2" borderId="0" xfId="0" applyNumberFormat="1" applyFont="1" applyFill="1"/>
    <xf numFmtId="44" fontId="7" fillId="0" borderId="0" xfId="0" applyNumberFormat="1" applyFont="1" applyFill="1" applyBorder="1" applyAlignment="1">
      <alignment horizontal="right"/>
    </xf>
    <xf numFmtId="164" fontId="4" fillId="2" borderId="0" xfId="1" applyFont="1" applyFill="1" applyBorder="1"/>
    <xf numFmtId="0" fontId="4" fillId="2" borderId="0" xfId="0" applyFont="1" applyFill="1" applyBorder="1"/>
    <xf numFmtId="164" fontId="4" fillId="2" borderId="0" xfId="0" applyNumberFormat="1" applyFont="1" applyFill="1" applyBorder="1"/>
    <xf numFmtId="164" fontId="4" fillId="13" borderId="0" xfId="1" applyFont="1" applyFill="1" applyAlignment="1">
      <alignment wrapText="1"/>
    </xf>
    <xf numFmtId="164" fontId="4" fillId="13" borderId="0" xfId="1" applyFont="1" applyFill="1"/>
    <xf numFmtId="164" fontId="4" fillId="13" borderId="0" xfId="1" applyFont="1" applyFill="1" applyAlignment="1">
      <alignment horizontal="right"/>
    </xf>
    <xf numFmtId="0" fontId="0" fillId="13" borderId="0" xfId="1" applyNumberFormat="1" applyFont="1" applyFill="1" applyAlignment="1">
      <alignment horizontal="right"/>
    </xf>
    <xf numFmtId="164" fontId="0" fillId="13" borderId="0" xfId="1" applyFont="1" applyFill="1" applyAlignment="1">
      <alignment horizontal="right"/>
    </xf>
    <xf numFmtId="164" fontId="0" fillId="13" borderId="0" xfId="1" applyFont="1" applyFill="1" applyBorder="1"/>
    <xf numFmtId="0" fontId="4" fillId="16" borderId="0" xfId="0" applyFont="1" applyFill="1"/>
    <xf numFmtId="164" fontId="4" fillId="17" borderId="0" xfId="1" applyFont="1" applyFill="1"/>
    <xf numFmtId="164" fontId="4" fillId="18" borderId="0" xfId="1" applyFont="1" applyFill="1" applyAlignment="1">
      <alignment horizontal="right" vertical="center" wrapText="1"/>
    </xf>
    <xf numFmtId="164" fontId="4" fillId="18" borderId="0" xfId="1" applyFont="1" applyFill="1" applyAlignment="1">
      <alignment vertical="center" wrapText="1"/>
    </xf>
    <xf numFmtId="164" fontId="4" fillId="15" borderId="0" xfId="1" applyFont="1" applyFill="1"/>
    <xf numFmtId="14" fontId="0" fillId="0" borderId="0" xfId="0" applyNumberFormat="1"/>
    <xf numFmtId="167" fontId="0" fillId="0" borderId="3" xfId="0" applyNumberFormat="1" applyBorder="1"/>
    <xf numFmtId="167" fontId="0" fillId="0" borderId="4" xfId="0" applyNumberFormat="1" applyBorder="1"/>
    <xf numFmtId="0" fontId="4" fillId="0" borderId="1" xfId="0" applyFont="1" applyBorder="1"/>
    <xf numFmtId="167" fontId="0" fillId="0" borderId="5" xfId="0" applyNumberFormat="1" applyBorder="1"/>
    <xf numFmtId="167" fontId="0" fillId="0" borderId="6" xfId="0" applyNumberFormat="1" applyBorder="1"/>
    <xf numFmtId="167" fontId="0" fillId="0" borderId="7" xfId="0" applyNumberFormat="1" applyBorder="1"/>
    <xf numFmtId="167" fontId="0" fillId="0" borderId="8" xfId="0" applyNumberFormat="1" applyBorder="1"/>
    <xf numFmtId="0" fontId="0" fillId="0" borderId="2" xfId="0" applyBorder="1"/>
    <xf numFmtId="0" fontId="0" fillId="0" borderId="9" xfId="0" applyBorder="1"/>
    <xf numFmtId="0" fontId="0" fillId="0" borderId="10" xfId="0" applyBorder="1"/>
    <xf numFmtId="0" fontId="7" fillId="0" borderId="0" xfId="0" applyFont="1" applyAlignment="1">
      <alignment horizontal="center" wrapText="1"/>
    </xf>
    <xf numFmtId="164" fontId="7" fillId="19" borderId="0" xfId="0" applyNumberFormat="1" applyFont="1" applyFill="1"/>
    <xf numFmtId="3" fontId="7" fillId="0" borderId="0" xfId="0" applyNumberFormat="1" applyFont="1"/>
    <xf numFmtId="3" fontId="7" fillId="0" borderId="0" xfId="0" applyNumberFormat="1" applyFont="1" applyAlignment="1">
      <alignment horizontal="center"/>
    </xf>
    <xf numFmtId="164" fontId="7" fillId="19" borderId="1" xfId="0" applyNumberFormat="1" applyFont="1" applyFill="1" applyBorder="1"/>
    <xf numFmtId="0" fontId="7" fillId="0" borderId="1" xfId="0" applyFont="1" applyBorder="1"/>
    <xf numFmtId="0" fontId="7" fillId="3" borderId="0" xfId="0" applyFont="1" applyFill="1"/>
    <xf numFmtId="0" fontId="8" fillId="3" borderId="0" xfId="0" applyFont="1" applyFill="1" applyAlignment="1">
      <alignment horizontal="right"/>
    </xf>
    <xf numFmtId="3" fontId="7" fillId="3" borderId="0" xfId="0" applyNumberFormat="1" applyFont="1" applyFill="1"/>
    <xf numFmtId="3" fontId="7" fillId="3" borderId="0" xfId="0" applyNumberFormat="1" applyFont="1" applyFill="1" applyAlignment="1">
      <alignment horizontal="center"/>
    </xf>
    <xf numFmtId="164" fontId="8" fillId="3" borderId="0" xfId="0" applyNumberFormat="1" applyFont="1" applyFill="1"/>
    <xf numFmtId="164" fontId="7" fillId="3" borderId="0" xfId="0" applyNumberFormat="1" applyFont="1" applyFill="1"/>
    <xf numFmtId="167" fontId="7" fillId="0" borderId="0" xfId="0" applyNumberFormat="1" applyFont="1"/>
    <xf numFmtId="3" fontId="7" fillId="19" borderId="0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right"/>
    </xf>
    <xf numFmtId="3" fontId="7" fillId="0" borderId="1" xfId="0" applyNumberFormat="1" applyFont="1" applyBorder="1"/>
    <xf numFmtId="3" fontId="7" fillId="0" borderId="1" xfId="0" applyNumberFormat="1" applyFont="1" applyBorder="1" applyAlignment="1">
      <alignment horizontal="center"/>
    </xf>
    <xf numFmtId="0" fontId="0" fillId="0" borderId="1" xfId="0" applyBorder="1"/>
    <xf numFmtId="0" fontId="7" fillId="16" borderId="0" xfId="0" applyFont="1" applyFill="1" applyBorder="1" applyAlignment="1">
      <alignment horizontal="left"/>
    </xf>
    <xf numFmtId="164" fontId="7" fillId="16" borderId="0" xfId="0" applyNumberFormat="1" applyFont="1" applyFill="1" applyBorder="1" applyAlignment="1">
      <alignment horizontal="center"/>
    </xf>
    <xf numFmtId="165" fontId="7" fillId="16" borderId="0" xfId="0" applyNumberFormat="1" applyFont="1" applyFill="1" applyBorder="1"/>
    <xf numFmtId="44" fontId="7" fillId="16" borderId="0" xfId="0" applyNumberFormat="1" applyFont="1" applyFill="1" applyBorder="1" applyAlignment="1">
      <alignment horizontal="center"/>
    </xf>
    <xf numFmtId="0" fontId="7" fillId="16" borderId="0" xfId="0" applyFont="1" applyFill="1" applyBorder="1" applyAlignment="1">
      <alignment horizontal="center"/>
    </xf>
    <xf numFmtId="0" fontId="0" fillId="16" borderId="0" xfId="0" applyFill="1"/>
    <xf numFmtId="164" fontId="0" fillId="0" borderId="0" xfId="1" applyFont="1" applyAlignment="1">
      <alignment horizontal="left"/>
    </xf>
    <xf numFmtId="0" fontId="7" fillId="0" borderId="0" xfId="0" applyFont="1" applyFill="1"/>
    <xf numFmtId="164" fontId="8" fillId="0" borderId="0" xfId="1" applyFont="1" applyAlignment="1">
      <alignment horizontal="center"/>
    </xf>
    <xf numFmtId="0" fontId="4" fillId="0" borderId="0" xfId="0" applyFont="1" applyAlignment="1">
      <alignment horizontal="right" wrapText="1"/>
    </xf>
    <xf numFmtId="44" fontId="7" fillId="0" borderId="0" xfId="0" applyNumberFormat="1" applyFont="1" applyFill="1"/>
    <xf numFmtId="0" fontId="0" fillId="0" borderId="0" xfId="0" applyFill="1" applyAlignment="1"/>
    <xf numFmtId="0" fontId="0" fillId="0" borderId="0" xfId="0" applyFill="1" applyAlignment="1">
      <alignment horizontal="left" wrapText="1"/>
    </xf>
    <xf numFmtId="164" fontId="0" fillId="0" borderId="0" xfId="1" applyFont="1" applyFill="1" applyAlignment="1">
      <alignment horizontal="center"/>
    </xf>
    <xf numFmtId="16" fontId="7" fillId="0" borderId="0" xfId="0" applyNumberFormat="1" applyFont="1" applyFill="1"/>
    <xf numFmtId="164" fontId="7" fillId="0" borderId="0" xfId="0" applyNumberFormat="1" applyFont="1" applyFill="1"/>
    <xf numFmtId="16" fontId="0" fillId="0" borderId="0" xfId="0" applyNumberFormat="1" applyFill="1" applyAlignment="1">
      <alignment horizontal="center"/>
    </xf>
    <xf numFmtId="167" fontId="7" fillId="0" borderId="0" xfId="0" applyNumberFormat="1" applyFont="1" applyFill="1"/>
    <xf numFmtId="0" fontId="7" fillId="19" borderId="0" xfId="0" applyFont="1" applyFill="1" applyBorder="1"/>
    <xf numFmtId="0" fontId="8" fillId="19" borderId="0" xfId="0" applyFont="1" applyFill="1" applyBorder="1" applyAlignment="1">
      <alignment horizontal="right"/>
    </xf>
    <xf numFmtId="3" fontId="7" fillId="19" borderId="0" xfId="0" applyNumberFormat="1" applyFont="1" applyFill="1" applyBorder="1"/>
    <xf numFmtId="4" fontId="7" fillId="19" borderId="0" xfId="0" applyNumberFormat="1" applyFont="1" applyFill="1" applyBorder="1" applyAlignment="1">
      <alignment horizontal="center"/>
    </xf>
    <xf numFmtId="164" fontId="7" fillId="19" borderId="0" xfId="0" applyNumberFormat="1" applyFont="1" applyFill="1" applyBorder="1"/>
    <xf numFmtId="0" fontId="8" fillId="0" borderId="0" xfId="0" applyFont="1" applyBorder="1" applyAlignment="1">
      <alignment horizontal="right"/>
    </xf>
    <xf numFmtId="3" fontId="7" fillId="0" borderId="0" xfId="0" applyNumberFormat="1" applyFont="1" applyBorder="1"/>
    <xf numFmtId="3" fontId="7" fillId="0" borderId="0" xfId="0" applyNumberFormat="1" applyFont="1" applyBorder="1" applyAlignment="1">
      <alignment horizontal="center"/>
    </xf>
    <xf numFmtId="168" fontId="7" fillId="0" borderId="0" xfId="0" applyNumberFormat="1" applyFont="1" applyBorder="1"/>
    <xf numFmtId="4" fontId="7" fillId="19" borderId="1" xfId="0" applyNumberFormat="1" applyFont="1" applyFill="1" applyBorder="1" applyAlignment="1">
      <alignment horizontal="center"/>
    </xf>
    <xf numFmtId="0" fontId="4" fillId="0" borderId="0" xfId="0" applyFont="1" applyFill="1" applyAlignment="1">
      <alignment wrapText="1"/>
    </xf>
    <xf numFmtId="164" fontId="4" fillId="0" borderId="0" xfId="1" applyFont="1" applyFill="1" applyAlignment="1">
      <alignment wrapText="1"/>
    </xf>
    <xf numFmtId="0" fontId="7" fillId="16" borderId="0" xfId="0" applyFont="1" applyFill="1"/>
    <xf numFmtId="0" fontId="8" fillId="0" borderId="0" xfId="0" applyFont="1" applyFill="1" applyAlignment="1">
      <alignment horizontal="right"/>
    </xf>
    <xf numFmtId="3" fontId="7" fillId="0" borderId="0" xfId="0" applyNumberFormat="1" applyFont="1" applyFill="1"/>
    <xf numFmtId="3" fontId="7" fillId="0" borderId="0" xfId="0" applyNumberFormat="1" applyFont="1" applyFill="1" applyAlignment="1">
      <alignment horizontal="center"/>
    </xf>
    <xf numFmtId="0" fontId="8" fillId="0" borderId="0" xfId="0" applyFont="1" applyFill="1" applyAlignment="1">
      <alignment horizontal="center"/>
    </xf>
    <xf numFmtId="164" fontId="8" fillId="0" borderId="0" xfId="0" applyNumberFormat="1" applyFont="1" applyFill="1"/>
    <xf numFmtId="0" fontId="8" fillId="16" borderId="0" xfId="0" applyFont="1" applyFill="1" applyAlignment="1">
      <alignment horizontal="right"/>
    </xf>
    <xf numFmtId="3" fontId="7" fillId="16" borderId="0" xfId="0" applyNumberFormat="1" applyFont="1" applyFill="1"/>
    <xf numFmtId="3" fontId="7" fillId="16" borderId="0" xfId="0" applyNumberFormat="1" applyFont="1" applyFill="1" applyAlignment="1">
      <alignment horizontal="center"/>
    </xf>
    <xf numFmtId="0" fontId="8" fillId="16" borderId="0" xfId="0" applyFont="1" applyFill="1" applyAlignment="1">
      <alignment horizontal="center"/>
    </xf>
    <xf numFmtId="164" fontId="8" fillId="16" borderId="0" xfId="0" applyNumberFormat="1" applyFont="1" applyFill="1"/>
    <xf numFmtId="164" fontId="7" fillId="16" borderId="0" xfId="0" applyNumberFormat="1" applyFont="1" applyFill="1"/>
    <xf numFmtId="0" fontId="0" fillId="0" borderId="0" xfId="0" applyFill="1" applyAlignment="1">
      <alignment wrapText="1"/>
    </xf>
    <xf numFmtId="164" fontId="0" fillId="0" borderId="0" xfId="1" applyFont="1" applyFill="1" applyAlignment="1">
      <alignment horizontal="left" wrapText="1"/>
    </xf>
    <xf numFmtId="0" fontId="7" fillId="0" borderId="0" xfId="0" applyFont="1" applyBorder="1" applyAlignment="1">
      <alignment horizontal="center"/>
    </xf>
    <xf numFmtId="0" fontId="0" fillId="0" borderId="0" xfId="0" applyFill="1" applyAlignment="1">
      <alignment horizontal="left" wrapText="1"/>
    </xf>
    <xf numFmtId="0" fontId="8" fillId="3" borderId="0" xfId="0" applyFont="1" applyFill="1" applyAlignment="1">
      <alignment wrapText="1"/>
    </xf>
    <xf numFmtId="164" fontId="8" fillId="3" borderId="0" xfId="0" applyNumberFormat="1" applyFont="1" applyFill="1" applyAlignment="1">
      <alignment horizontal="center" wrapText="1"/>
    </xf>
    <xf numFmtId="0" fontId="8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0" fillId="0" borderId="0" xfId="0" applyAlignment="1">
      <alignment wrapText="1"/>
    </xf>
    <xf numFmtId="0" fontId="7" fillId="20" borderId="0" xfId="0" applyFont="1" applyFill="1"/>
    <xf numFmtId="1" fontId="7" fillId="16" borderId="0" xfId="1" applyNumberFormat="1" applyFont="1" applyFill="1" applyBorder="1" applyAlignment="1">
      <alignment horizontal="right"/>
    </xf>
  </cellXfs>
  <cellStyles count="1010">
    <cellStyle name="Currency" xfId="1" builtinId="4" customBuiltin="1"/>
    <cellStyle name="Followed Hyperlink" xfId="69" builtinId="9" hidden="1"/>
    <cellStyle name="Followed Hyperlink" xfId="73" builtinId="9" hidden="1"/>
    <cellStyle name="Followed Hyperlink" xfId="77" builtinId="9" hidden="1"/>
    <cellStyle name="Followed Hyperlink" xfId="81" builtinId="9" hidden="1"/>
    <cellStyle name="Followed Hyperlink" xfId="85" builtinId="9" hidden="1"/>
    <cellStyle name="Followed Hyperlink" xfId="89" builtinId="9" hidden="1"/>
    <cellStyle name="Followed Hyperlink" xfId="93" builtinId="9" hidden="1"/>
    <cellStyle name="Followed Hyperlink" xfId="97" builtinId="9" hidden="1"/>
    <cellStyle name="Followed Hyperlink" xfId="101" builtinId="9" hidden="1"/>
    <cellStyle name="Followed Hyperlink" xfId="105" builtinId="9" hidden="1"/>
    <cellStyle name="Followed Hyperlink" xfId="109" builtinId="9" hidden="1"/>
    <cellStyle name="Followed Hyperlink" xfId="113" builtinId="9" hidden="1"/>
    <cellStyle name="Followed Hyperlink" xfId="117" builtinId="9" hidden="1"/>
    <cellStyle name="Followed Hyperlink" xfId="121" builtinId="9" hidden="1"/>
    <cellStyle name="Followed Hyperlink" xfId="125" builtinId="9" hidden="1"/>
    <cellStyle name="Followed Hyperlink" xfId="129" builtinId="9" hidden="1"/>
    <cellStyle name="Followed Hyperlink" xfId="133" builtinId="9" hidden="1"/>
    <cellStyle name="Followed Hyperlink" xfId="137" builtinId="9" hidden="1"/>
    <cellStyle name="Followed Hyperlink" xfId="141" builtinId="9" hidden="1"/>
    <cellStyle name="Followed Hyperlink" xfId="145" builtinId="9" hidden="1"/>
    <cellStyle name="Followed Hyperlink" xfId="143" builtinId="9" hidden="1"/>
    <cellStyle name="Followed Hyperlink" xfId="139" builtinId="9" hidden="1"/>
    <cellStyle name="Followed Hyperlink" xfId="135" builtinId="9" hidden="1"/>
    <cellStyle name="Followed Hyperlink" xfId="131" builtinId="9" hidden="1"/>
    <cellStyle name="Followed Hyperlink" xfId="127" builtinId="9" hidden="1"/>
    <cellStyle name="Followed Hyperlink" xfId="123" builtinId="9" hidden="1"/>
    <cellStyle name="Followed Hyperlink" xfId="119" builtinId="9" hidden="1"/>
    <cellStyle name="Followed Hyperlink" xfId="115" builtinId="9" hidden="1"/>
    <cellStyle name="Followed Hyperlink" xfId="111" builtinId="9" hidden="1"/>
    <cellStyle name="Followed Hyperlink" xfId="107" builtinId="9" hidden="1"/>
    <cellStyle name="Followed Hyperlink" xfId="103" builtinId="9" hidden="1"/>
    <cellStyle name="Followed Hyperlink" xfId="99" builtinId="9" hidden="1"/>
    <cellStyle name="Followed Hyperlink" xfId="95" builtinId="9" hidden="1"/>
    <cellStyle name="Followed Hyperlink" xfId="91" builtinId="9" hidden="1"/>
    <cellStyle name="Followed Hyperlink" xfId="87" builtinId="9" hidden="1"/>
    <cellStyle name="Followed Hyperlink" xfId="83" builtinId="9" hidden="1"/>
    <cellStyle name="Followed Hyperlink" xfId="79" builtinId="9" hidden="1"/>
    <cellStyle name="Followed Hyperlink" xfId="75" builtinId="9" hidden="1"/>
    <cellStyle name="Followed Hyperlink" xfId="71" builtinId="9" hidden="1"/>
    <cellStyle name="Followed Hyperlink" xfId="67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5" builtinId="9" hidden="1"/>
    <cellStyle name="Followed Hyperlink" xfId="63" builtinId="9" hidden="1"/>
    <cellStyle name="Followed Hyperlink" xfId="55" builtinId="9" hidden="1"/>
    <cellStyle name="Followed Hyperlink" xfId="47" builtinId="9" hidden="1"/>
    <cellStyle name="Followed Hyperlink" xfId="39" builtinId="9" hidden="1"/>
    <cellStyle name="Followed Hyperlink" xfId="31" builtinId="9" hidden="1"/>
    <cellStyle name="Followed Hyperlink" xfId="23" builtinId="9" hidden="1"/>
    <cellStyle name="Followed Hyperlink" xfId="11" builtinId="9" hidden="1"/>
    <cellStyle name="Followed Hyperlink" xfId="13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15" builtinId="9" hidden="1"/>
    <cellStyle name="Followed Hyperlink" xfId="7" builtinId="9" hidden="1"/>
    <cellStyle name="Followed Hyperlink" xfId="9" builtinId="9" hidden="1"/>
    <cellStyle name="Followed Hyperlink" xfId="5" builtinId="9" hidden="1"/>
    <cellStyle name="Followed Hyperlink" xfId="3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Followed Hyperlink" xfId="259" builtinId="9" hidden="1"/>
    <cellStyle name="Followed Hyperlink" xfId="261" builtinId="9" hidden="1"/>
    <cellStyle name="Followed Hyperlink" xfId="263" builtinId="9" hidden="1"/>
    <cellStyle name="Followed Hyperlink" xfId="265" builtinId="9" hidden="1"/>
    <cellStyle name="Followed Hyperlink" xfId="267" builtinId="9" hidden="1"/>
    <cellStyle name="Followed Hyperlink" xfId="269" builtinId="9" hidden="1"/>
    <cellStyle name="Followed Hyperlink" xfId="271" builtinId="9" hidden="1"/>
    <cellStyle name="Followed Hyperlink" xfId="273" builtinId="9" hidden="1"/>
    <cellStyle name="Followed Hyperlink" xfId="275" builtinId="9" hidden="1"/>
    <cellStyle name="Followed Hyperlink" xfId="277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Followed Hyperlink" xfId="349" builtinId="9" hidden="1"/>
    <cellStyle name="Followed Hyperlink" xfId="351" builtinId="9" hidden="1"/>
    <cellStyle name="Followed Hyperlink" xfId="353" builtinId="9" hidden="1"/>
    <cellStyle name="Followed Hyperlink" xfId="355" builtinId="9" hidden="1"/>
    <cellStyle name="Followed Hyperlink" xfId="357" builtinId="9" hidden="1"/>
    <cellStyle name="Followed Hyperlink" xfId="359" builtinId="9" hidden="1"/>
    <cellStyle name="Followed Hyperlink" xfId="361" builtinId="9" hidden="1"/>
    <cellStyle name="Followed Hyperlink" xfId="363" builtinId="9" hidden="1"/>
    <cellStyle name="Followed Hyperlink" xfId="365" builtinId="9" hidden="1"/>
    <cellStyle name="Followed Hyperlink" xfId="367" builtinId="9" hidden="1"/>
    <cellStyle name="Followed Hyperlink" xfId="369" builtinId="9" hidden="1"/>
    <cellStyle name="Followed Hyperlink" xfId="371" builtinId="9" hidden="1"/>
    <cellStyle name="Followed Hyperlink" xfId="373" builtinId="9" hidden="1"/>
    <cellStyle name="Followed Hyperlink" xfId="375" builtinId="9" hidden="1"/>
    <cellStyle name="Followed Hyperlink" xfId="377" builtinId="9" hidden="1"/>
    <cellStyle name="Followed Hyperlink" xfId="379" builtinId="9" hidden="1"/>
    <cellStyle name="Followed Hyperlink" xfId="381" builtinId="9" hidden="1"/>
    <cellStyle name="Followed Hyperlink" xfId="383" builtinId="9" hidden="1"/>
    <cellStyle name="Followed Hyperlink" xfId="385" builtinId="9" hidden="1"/>
    <cellStyle name="Followed Hyperlink" xfId="387" builtinId="9" hidden="1"/>
    <cellStyle name="Followed Hyperlink" xfId="389" builtinId="9" hidden="1"/>
    <cellStyle name="Followed Hyperlink" xfId="391" builtinId="9" hidden="1"/>
    <cellStyle name="Followed Hyperlink" xfId="393" builtinId="9" hidden="1"/>
    <cellStyle name="Followed Hyperlink" xfId="395" builtinId="9" hidden="1"/>
    <cellStyle name="Followed Hyperlink" xfId="397" builtinId="9" hidden="1"/>
    <cellStyle name="Followed Hyperlink" xfId="399" builtinId="9" hidden="1"/>
    <cellStyle name="Followed Hyperlink" xfId="401" builtinId="9" hidden="1"/>
    <cellStyle name="Followed Hyperlink" xfId="403" builtinId="9" hidden="1"/>
    <cellStyle name="Followed Hyperlink" xfId="405" builtinId="9" hidden="1"/>
    <cellStyle name="Followed Hyperlink" xfId="407" builtinId="9" hidden="1"/>
    <cellStyle name="Followed Hyperlink" xfId="409" builtinId="9" hidden="1"/>
    <cellStyle name="Followed Hyperlink" xfId="411" builtinId="9" hidden="1"/>
    <cellStyle name="Followed Hyperlink" xfId="413" builtinId="9" hidden="1"/>
    <cellStyle name="Followed Hyperlink" xfId="415" builtinId="9" hidden="1"/>
    <cellStyle name="Followed Hyperlink" xfId="417" builtinId="9" hidden="1"/>
    <cellStyle name="Followed Hyperlink" xfId="419" builtinId="9" hidden="1"/>
    <cellStyle name="Followed Hyperlink" xfId="421" builtinId="9" hidden="1"/>
    <cellStyle name="Followed Hyperlink" xfId="423" builtinId="9" hidden="1"/>
    <cellStyle name="Followed Hyperlink" xfId="425" builtinId="9" hidden="1"/>
    <cellStyle name="Followed Hyperlink" xfId="427" builtinId="9" hidden="1"/>
    <cellStyle name="Followed Hyperlink" xfId="429" builtinId="9" hidden="1"/>
    <cellStyle name="Followed Hyperlink" xfId="431" builtinId="9" hidden="1"/>
    <cellStyle name="Followed Hyperlink" xfId="433" builtinId="9" hidden="1"/>
    <cellStyle name="Followed Hyperlink" xfId="435" builtinId="9" hidden="1"/>
    <cellStyle name="Followed Hyperlink" xfId="437" builtinId="9" hidden="1"/>
    <cellStyle name="Followed Hyperlink" xfId="439" builtinId="9" hidden="1"/>
    <cellStyle name="Followed Hyperlink" xfId="441" builtinId="9" hidden="1"/>
    <cellStyle name="Followed Hyperlink" xfId="443" builtinId="9" hidden="1"/>
    <cellStyle name="Followed Hyperlink" xfId="445" builtinId="9" hidden="1"/>
    <cellStyle name="Followed Hyperlink" xfId="447" builtinId="9" hidden="1"/>
    <cellStyle name="Followed Hyperlink" xfId="449" builtinId="9" hidden="1"/>
    <cellStyle name="Followed Hyperlink" xfId="451" builtinId="9" hidden="1"/>
    <cellStyle name="Followed Hyperlink" xfId="453" builtinId="9" hidden="1"/>
    <cellStyle name="Followed Hyperlink" xfId="455" builtinId="9" hidden="1"/>
    <cellStyle name="Followed Hyperlink" xfId="457" builtinId="9" hidden="1"/>
    <cellStyle name="Followed Hyperlink" xfId="459" builtinId="9" hidden="1"/>
    <cellStyle name="Followed Hyperlink" xfId="461" builtinId="9" hidden="1"/>
    <cellStyle name="Followed Hyperlink" xfId="463" builtinId="9" hidden="1"/>
    <cellStyle name="Followed Hyperlink" xfId="465" builtinId="9" hidden="1"/>
    <cellStyle name="Followed Hyperlink" xfId="467" builtinId="9" hidden="1"/>
    <cellStyle name="Followed Hyperlink" xfId="469" builtinId="9" hidden="1"/>
    <cellStyle name="Followed Hyperlink" xfId="471" builtinId="9" hidden="1"/>
    <cellStyle name="Followed Hyperlink" xfId="473" builtinId="9" hidden="1"/>
    <cellStyle name="Followed Hyperlink" xfId="475" builtinId="9" hidden="1"/>
    <cellStyle name="Followed Hyperlink" xfId="477" builtinId="9" hidden="1"/>
    <cellStyle name="Followed Hyperlink" xfId="479" builtinId="9" hidden="1"/>
    <cellStyle name="Followed Hyperlink" xfId="481" builtinId="9" hidden="1"/>
    <cellStyle name="Followed Hyperlink" xfId="483" builtinId="9" hidden="1"/>
    <cellStyle name="Followed Hyperlink" xfId="485" builtinId="9" hidden="1"/>
    <cellStyle name="Followed Hyperlink" xfId="487" builtinId="9" hidden="1"/>
    <cellStyle name="Followed Hyperlink" xfId="489" builtinId="9" hidden="1"/>
    <cellStyle name="Followed Hyperlink" xfId="491" builtinId="9" hidden="1"/>
    <cellStyle name="Followed Hyperlink" xfId="493" builtinId="9" hidden="1"/>
    <cellStyle name="Followed Hyperlink" xfId="495" builtinId="9" hidden="1"/>
    <cellStyle name="Followed Hyperlink" xfId="497" builtinId="9" hidden="1"/>
    <cellStyle name="Followed Hyperlink" xfId="499" builtinId="9" hidden="1"/>
    <cellStyle name="Followed Hyperlink" xfId="501" builtinId="9" hidden="1"/>
    <cellStyle name="Followed Hyperlink" xfId="503" builtinId="9" hidden="1"/>
    <cellStyle name="Followed Hyperlink" xfId="505" builtinId="9" hidden="1"/>
    <cellStyle name="Followed Hyperlink" xfId="507" builtinId="9" hidden="1"/>
    <cellStyle name="Followed Hyperlink" xfId="509" builtinId="9" hidden="1"/>
    <cellStyle name="Followed Hyperlink" xfId="511" builtinId="9" hidden="1"/>
    <cellStyle name="Followed Hyperlink" xfId="513" builtinId="9" hidden="1"/>
    <cellStyle name="Followed Hyperlink" xfId="515" builtinId="9" hidden="1"/>
    <cellStyle name="Followed Hyperlink" xfId="517" builtinId="9" hidden="1"/>
    <cellStyle name="Followed Hyperlink" xfId="519" builtinId="9" hidden="1"/>
    <cellStyle name="Followed Hyperlink" xfId="521" builtinId="9" hidden="1"/>
    <cellStyle name="Followed Hyperlink" xfId="523" builtinId="9" hidden="1"/>
    <cellStyle name="Followed Hyperlink" xfId="525" builtinId="9" hidden="1"/>
    <cellStyle name="Followed Hyperlink" xfId="527" builtinId="9" hidden="1"/>
    <cellStyle name="Followed Hyperlink" xfId="529" builtinId="9" hidden="1"/>
    <cellStyle name="Followed Hyperlink" xfId="531" builtinId="9" hidden="1"/>
    <cellStyle name="Followed Hyperlink" xfId="533" builtinId="9" hidden="1"/>
    <cellStyle name="Followed Hyperlink" xfId="535" builtinId="9" hidden="1"/>
    <cellStyle name="Followed Hyperlink" xfId="537" builtinId="9" hidden="1"/>
    <cellStyle name="Followed Hyperlink" xfId="539" builtinId="9" hidden="1"/>
    <cellStyle name="Followed Hyperlink" xfId="541" builtinId="9" hidden="1"/>
    <cellStyle name="Followed Hyperlink" xfId="543" builtinId="9" hidden="1"/>
    <cellStyle name="Followed Hyperlink" xfId="545" builtinId="9" hidden="1"/>
    <cellStyle name="Followed Hyperlink" xfId="547" builtinId="9" hidden="1"/>
    <cellStyle name="Followed Hyperlink" xfId="549" builtinId="9" hidden="1"/>
    <cellStyle name="Followed Hyperlink" xfId="551" builtinId="9" hidden="1"/>
    <cellStyle name="Followed Hyperlink" xfId="553" builtinId="9" hidden="1"/>
    <cellStyle name="Followed Hyperlink" xfId="555" builtinId="9" hidden="1"/>
    <cellStyle name="Followed Hyperlink" xfId="557" builtinId="9" hidden="1"/>
    <cellStyle name="Followed Hyperlink" xfId="559" builtinId="9" hidden="1"/>
    <cellStyle name="Followed Hyperlink" xfId="561" builtinId="9" hidden="1"/>
    <cellStyle name="Followed Hyperlink" xfId="563" builtinId="9" hidden="1"/>
    <cellStyle name="Followed Hyperlink" xfId="565" builtinId="9" hidden="1"/>
    <cellStyle name="Followed Hyperlink" xfId="567" builtinId="9" hidden="1"/>
    <cellStyle name="Followed Hyperlink" xfId="569" builtinId="9" hidden="1"/>
    <cellStyle name="Followed Hyperlink" xfId="571" builtinId="9" hidden="1"/>
    <cellStyle name="Followed Hyperlink" xfId="573" builtinId="9" hidden="1"/>
    <cellStyle name="Followed Hyperlink" xfId="575" builtinId="9" hidden="1"/>
    <cellStyle name="Followed Hyperlink" xfId="577" builtinId="9" hidden="1"/>
    <cellStyle name="Followed Hyperlink" xfId="579" builtinId="9" hidden="1"/>
    <cellStyle name="Followed Hyperlink" xfId="581" builtinId="9" hidden="1"/>
    <cellStyle name="Followed Hyperlink" xfId="583" builtinId="9" hidden="1"/>
    <cellStyle name="Followed Hyperlink" xfId="585" builtinId="9" hidden="1"/>
    <cellStyle name="Followed Hyperlink" xfId="587" builtinId="9" hidden="1"/>
    <cellStyle name="Followed Hyperlink" xfId="589" builtinId="9" hidden="1"/>
    <cellStyle name="Followed Hyperlink" xfId="591" builtinId="9" hidden="1"/>
    <cellStyle name="Followed Hyperlink" xfId="593" builtinId="9" hidden="1"/>
    <cellStyle name="Followed Hyperlink" xfId="595" builtinId="9" hidden="1"/>
    <cellStyle name="Followed Hyperlink" xfId="597" builtinId="9" hidden="1"/>
    <cellStyle name="Followed Hyperlink" xfId="599" builtinId="9" hidden="1"/>
    <cellStyle name="Followed Hyperlink" xfId="601" builtinId="9" hidden="1"/>
    <cellStyle name="Followed Hyperlink" xfId="603" builtinId="9" hidden="1"/>
    <cellStyle name="Followed Hyperlink" xfId="605" builtinId="9" hidden="1"/>
    <cellStyle name="Followed Hyperlink" xfId="607" builtinId="9" hidden="1"/>
    <cellStyle name="Followed Hyperlink" xfId="609" builtinId="9" hidden="1"/>
    <cellStyle name="Followed Hyperlink" xfId="611" builtinId="9" hidden="1"/>
    <cellStyle name="Followed Hyperlink" xfId="613" builtinId="9" hidden="1"/>
    <cellStyle name="Followed Hyperlink" xfId="615" builtinId="9" hidden="1"/>
    <cellStyle name="Followed Hyperlink" xfId="617" builtinId="9" hidden="1"/>
    <cellStyle name="Followed Hyperlink" xfId="619" builtinId="9" hidden="1"/>
    <cellStyle name="Followed Hyperlink" xfId="621" builtinId="9" hidden="1"/>
    <cellStyle name="Followed Hyperlink" xfId="623" builtinId="9" hidden="1"/>
    <cellStyle name="Followed Hyperlink" xfId="625" builtinId="9" hidden="1"/>
    <cellStyle name="Followed Hyperlink" xfId="627" builtinId="9" hidden="1"/>
    <cellStyle name="Followed Hyperlink" xfId="629" builtinId="9" hidden="1"/>
    <cellStyle name="Followed Hyperlink" xfId="631" builtinId="9" hidden="1"/>
    <cellStyle name="Followed Hyperlink" xfId="633" builtinId="9" hidden="1"/>
    <cellStyle name="Followed Hyperlink" xfId="635" builtinId="9" hidden="1"/>
    <cellStyle name="Followed Hyperlink" xfId="637" builtinId="9" hidden="1"/>
    <cellStyle name="Followed Hyperlink" xfId="639" builtinId="9" hidden="1"/>
    <cellStyle name="Followed Hyperlink" xfId="641" builtinId="9" hidden="1"/>
    <cellStyle name="Followed Hyperlink" xfId="643" builtinId="9" hidden="1"/>
    <cellStyle name="Followed Hyperlink" xfId="645" builtinId="9" hidden="1"/>
    <cellStyle name="Followed Hyperlink" xfId="647" builtinId="9" hidden="1"/>
    <cellStyle name="Followed Hyperlink" xfId="649" builtinId="9" hidden="1"/>
    <cellStyle name="Followed Hyperlink" xfId="651" builtinId="9" hidden="1"/>
    <cellStyle name="Followed Hyperlink" xfId="653" builtinId="9" hidden="1"/>
    <cellStyle name="Followed Hyperlink" xfId="655" builtinId="9" hidden="1"/>
    <cellStyle name="Followed Hyperlink" xfId="657" builtinId="9" hidden="1"/>
    <cellStyle name="Followed Hyperlink" xfId="659" builtinId="9" hidden="1"/>
    <cellStyle name="Followed Hyperlink" xfId="661" builtinId="9" hidden="1"/>
    <cellStyle name="Followed Hyperlink" xfId="663" builtinId="9" hidden="1"/>
    <cellStyle name="Followed Hyperlink" xfId="665" builtinId="9" hidden="1"/>
    <cellStyle name="Followed Hyperlink" xfId="667" builtinId="9" hidden="1"/>
    <cellStyle name="Followed Hyperlink" xfId="669" builtinId="9" hidden="1"/>
    <cellStyle name="Followed Hyperlink" xfId="671" builtinId="9" hidden="1"/>
    <cellStyle name="Followed Hyperlink" xfId="673" builtinId="9" hidden="1"/>
    <cellStyle name="Followed Hyperlink" xfId="675" builtinId="9" hidden="1"/>
    <cellStyle name="Followed Hyperlink" xfId="677" builtinId="9" hidden="1"/>
    <cellStyle name="Followed Hyperlink" xfId="679" builtinId="9" hidden="1"/>
    <cellStyle name="Followed Hyperlink" xfId="681" builtinId="9" hidden="1"/>
    <cellStyle name="Followed Hyperlink" xfId="683" builtinId="9" hidden="1"/>
    <cellStyle name="Followed Hyperlink" xfId="685" builtinId="9" hidden="1"/>
    <cellStyle name="Followed Hyperlink" xfId="687" builtinId="9" hidden="1"/>
    <cellStyle name="Followed Hyperlink" xfId="689" builtinId="9" hidden="1"/>
    <cellStyle name="Followed Hyperlink" xfId="691" builtinId="9" hidden="1"/>
    <cellStyle name="Followed Hyperlink" xfId="693" builtinId="9" hidden="1"/>
    <cellStyle name="Followed Hyperlink" xfId="695" builtinId="9" hidden="1"/>
    <cellStyle name="Followed Hyperlink" xfId="697" builtinId="9" hidden="1"/>
    <cellStyle name="Followed Hyperlink" xfId="699" builtinId="9" hidden="1"/>
    <cellStyle name="Followed Hyperlink" xfId="701" builtinId="9" hidden="1"/>
    <cellStyle name="Followed Hyperlink" xfId="703" builtinId="9" hidden="1"/>
    <cellStyle name="Followed Hyperlink" xfId="705" builtinId="9" hidden="1"/>
    <cellStyle name="Followed Hyperlink" xfId="707" builtinId="9" hidden="1"/>
    <cellStyle name="Followed Hyperlink" xfId="709" builtinId="9" hidden="1"/>
    <cellStyle name="Followed Hyperlink" xfId="711" builtinId="9" hidden="1"/>
    <cellStyle name="Followed Hyperlink" xfId="713" builtinId="9" hidden="1"/>
    <cellStyle name="Followed Hyperlink" xfId="715" builtinId="9" hidden="1"/>
    <cellStyle name="Followed Hyperlink" xfId="717" builtinId="9" hidden="1"/>
    <cellStyle name="Followed Hyperlink" xfId="719" builtinId="9" hidden="1"/>
    <cellStyle name="Followed Hyperlink" xfId="721" builtinId="9" hidden="1"/>
    <cellStyle name="Followed Hyperlink" xfId="723" builtinId="9" hidden="1"/>
    <cellStyle name="Followed Hyperlink" xfId="725" builtinId="9" hidden="1"/>
    <cellStyle name="Followed Hyperlink" xfId="727" builtinId="9" hidden="1"/>
    <cellStyle name="Followed Hyperlink" xfId="729" builtinId="9" hidden="1"/>
    <cellStyle name="Followed Hyperlink" xfId="731" builtinId="9" hidden="1"/>
    <cellStyle name="Followed Hyperlink" xfId="733" builtinId="9" hidden="1"/>
    <cellStyle name="Followed Hyperlink" xfId="735" builtinId="9" hidden="1"/>
    <cellStyle name="Followed Hyperlink" xfId="737" builtinId="9" hidden="1"/>
    <cellStyle name="Followed Hyperlink" xfId="739" builtinId="9" hidden="1"/>
    <cellStyle name="Followed Hyperlink" xfId="741" builtinId="9" hidden="1"/>
    <cellStyle name="Followed Hyperlink" xfId="743" builtinId="9" hidden="1"/>
    <cellStyle name="Followed Hyperlink" xfId="745" builtinId="9" hidden="1"/>
    <cellStyle name="Followed Hyperlink" xfId="747" builtinId="9" hidden="1"/>
    <cellStyle name="Followed Hyperlink" xfId="749" builtinId="9" hidden="1"/>
    <cellStyle name="Followed Hyperlink" xfId="751" builtinId="9" hidden="1"/>
    <cellStyle name="Followed Hyperlink" xfId="753" builtinId="9" hidden="1"/>
    <cellStyle name="Followed Hyperlink" xfId="755" builtinId="9" hidden="1"/>
    <cellStyle name="Followed Hyperlink" xfId="757" builtinId="9" hidden="1"/>
    <cellStyle name="Followed Hyperlink" xfId="759" builtinId="9" hidden="1"/>
    <cellStyle name="Followed Hyperlink" xfId="761" builtinId="9" hidden="1"/>
    <cellStyle name="Followed Hyperlink" xfId="763" builtinId="9" hidden="1"/>
    <cellStyle name="Followed Hyperlink" xfId="765" builtinId="9" hidden="1"/>
    <cellStyle name="Followed Hyperlink" xfId="767" builtinId="9" hidden="1"/>
    <cellStyle name="Followed Hyperlink" xfId="769" builtinId="9" hidden="1"/>
    <cellStyle name="Followed Hyperlink" xfId="771" builtinId="9" hidden="1"/>
    <cellStyle name="Followed Hyperlink" xfId="773" builtinId="9" hidden="1"/>
    <cellStyle name="Followed Hyperlink" xfId="775" builtinId="9" hidden="1"/>
    <cellStyle name="Followed Hyperlink" xfId="777" builtinId="9" hidden="1"/>
    <cellStyle name="Followed Hyperlink" xfId="779" builtinId="9" hidden="1"/>
    <cellStyle name="Followed Hyperlink" xfId="781" builtinId="9" hidden="1"/>
    <cellStyle name="Followed Hyperlink" xfId="783" builtinId="9" hidden="1"/>
    <cellStyle name="Followed Hyperlink" xfId="785" builtinId="9" hidden="1"/>
    <cellStyle name="Followed Hyperlink" xfId="787" builtinId="9" hidden="1"/>
    <cellStyle name="Followed Hyperlink" xfId="789" builtinId="9" hidden="1"/>
    <cellStyle name="Followed Hyperlink" xfId="791" builtinId="9" hidden="1"/>
    <cellStyle name="Followed Hyperlink" xfId="793" builtinId="9" hidden="1"/>
    <cellStyle name="Followed Hyperlink" xfId="795" builtinId="9" hidden="1"/>
    <cellStyle name="Followed Hyperlink" xfId="797" builtinId="9" hidden="1"/>
    <cellStyle name="Followed Hyperlink" xfId="799" builtinId="9" hidden="1"/>
    <cellStyle name="Followed Hyperlink" xfId="801" builtinId="9" hidden="1"/>
    <cellStyle name="Followed Hyperlink" xfId="803" builtinId="9" hidden="1"/>
    <cellStyle name="Followed Hyperlink" xfId="805" builtinId="9" hidden="1"/>
    <cellStyle name="Followed Hyperlink" xfId="807" builtinId="9" hidden="1"/>
    <cellStyle name="Followed Hyperlink" xfId="809" builtinId="9" hidden="1"/>
    <cellStyle name="Followed Hyperlink" xfId="811" builtinId="9" hidden="1"/>
    <cellStyle name="Followed Hyperlink" xfId="813" builtinId="9" hidden="1"/>
    <cellStyle name="Followed Hyperlink" xfId="815" builtinId="9" hidden="1"/>
    <cellStyle name="Followed Hyperlink" xfId="817" builtinId="9" hidden="1"/>
    <cellStyle name="Followed Hyperlink" xfId="819" builtinId="9" hidden="1"/>
    <cellStyle name="Followed Hyperlink" xfId="821" builtinId="9" hidden="1"/>
    <cellStyle name="Followed Hyperlink" xfId="823" builtinId="9" hidden="1"/>
    <cellStyle name="Followed Hyperlink" xfId="825" builtinId="9" hidden="1"/>
    <cellStyle name="Followed Hyperlink" xfId="827" builtinId="9" hidden="1"/>
    <cellStyle name="Followed Hyperlink" xfId="829" builtinId="9" hidden="1"/>
    <cellStyle name="Followed Hyperlink" xfId="831" builtinId="9" hidden="1"/>
    <cellStyle name="Followed Hyperlink" xfId="833" builtinId="9" hidden="1"/>
    <cellStyle name="Followed Hyperlink" xfId="835" builtinId="9" hidden="1"/>
    <cellStyle name="Followed Hyperlink" xfId="837" builtinId="9" hidden="1"/>
    <cellStyle name="Followed Hyperlink" xfId="839" builtinId="9" hidden="1"/>
    <cellStyle name="Followed Hyperlink" xfId="841" builtinId="9" hidden="1"/>
    <cellStyle name="Followed Hyperlink" xfId="843" builtinId="9" hidden="1"/>
    <cellStyle name="Followed Hyperlink" xfId="845" builtinId="9" hidden="1"/>
    <cellStyle name="Followed Hyperlink" xfId="847" builtinId="9" hidden="1"/>
    <cellStyle name="Followed Hyperlink" xfId="849" builtinId="9" hidden="1"/>
    <cellStyle name="Followed Hyperlink" xfId="851" builtinId="9" hidden="1"/>
    <cellStyle name="Followed Hyperlink" xfId="853" builtinId="9" hidden="1"/>
    <cellStyle name="Followed Hyperlink" xfId="855" builtinId="9" hidden="1"/>
    <cellStyle name="Followed Hyperlink" xfId="857" builtinId="9" hidden="1"/>
    <cellStyle name="Followed Hyperlink" xfId="859" builtinId="9" hidden="1"/>
    <cellStyle name="Followed Hyperlink" xfId="861" builtinId="9" hidden="1"/>
    <cellStyle name="Followed Hyperlink" xfId="863" builtinId="9" hidden="1"/>
    <cellStyle name="Followed Hyperlink" xfId="865" builtinId="9" hidden="1"/>
    <cellStyle name="Followed Hyperlink" xfId="867" builtinId="9" hidden="1"/>
    <cellStyle name="Followed Hyperlink" xfId="869" builtinId="9" hidden="1"/>
    <cellStyle name="Followed Hyperlink" xfId="871" builtinId="9" hidden="1"/>
    <cellStyle name="Followed Hyperlink" xfId="873" builtinId="9" hidden="1"/>
    <cellStyle name="Followed Hyperlink" xfId="875" builtinId="9" hidden="1"/>
    <cellStyle name="Followed Hyperlink" xfId="877" builtinId="9" hidden="1"/>
    <cellStyle name="Followed Hyperlink" xfId="879" builtinId="9" hidden="1"/>
    <cellStyle name="Followed Hyperlink" xfId="881" builtinId="9" hidden="1"/>
    <cellStyle name="Followed Hyperlink" xfId="883" builtinId="9" hidden="1"/>
    <cellStyle name="Followed Hyperlink" xfId="885" builtinId="9" hidden="1"/>
    <cellStyle name="Followed Hyperlink" xfId="887" builtinId="9" hidden="1"/>
    <cellStyle name="Followed Hyperlink" xfId="889" builtinId="9" hidden="1"/>
    <cellStyle name="Followed Hyperlink" xfId="891" builtinId="9" hidden="1"/>
    <cellStyle name="Followed Hyperlink" xfId="893" builtinId="9" hidden="1"/>
    <cellStyle name="Followed Hyperlink" xfId="895" builtinId="9" hidden="1"/>
    <cellStyle name="Followed Hyperlink" xfId="897" builtinId="9" hidden="1"/>
    <cellStyle name="Followed Hyperlink" xfId="899" builtinId="9" hidden="1"/>
    <cellStyle name="Followed Hyperlink" xfId="901" builtinId="9" hidden="1"/>
    <cellStyle name="Followed Hyperlink" xfId="903" builtinId="9" hidden="1"/>
    <cellStyle name="Followed Hyperlink" xfId="905" builtinId="9" hidden="1"/>
    <cellStyle name="Followed Hyperlink" xfId="907" builtinId="9" hidden="1"/>
    <cellStyle name="Followed Hyperlink" xfId="909" builtinId="9" hidden="1"/>
    <cellStyle name="Followed Hyperlink" xfId="911" builtinId="9" hidden="1"/>
    <cellStyle name="Followed Hyperlink" xfId="913" builtinId="9" hidden="1"/>
    <cellStyle name="Followed Hyperlink" xfId="915" builtinId="9" hidden="1"/>
    <cellStyle name="Followed Hyperlink" xfId="917" builtinId="9" hidden="1"/>
    <cellStyle name="Followed Hyperlink" xfId="919" builtinId="9" hidden="1"/>
    <cellStyle name="Followed Hyperlink" xfId="921" builtinId="9" hidden="1"/>
    <cellStyle name="Followed Hyperlink" xfId="923" builtinId="9" hidden="1"/>
    <cellStyle name="Followed Hyperlink" xfId="925" builtinId="9" hidden="1"/>
    <cellStyle name="Followed Hyperlink" xfId="927" builtinId="9" hidden="1"/>
    <cellStyle name="Followed Hyperlink" xfId="929" builtinId="9" hidden="1"/>
    <cellStyle name="Followed Hyperlink" xfId="931" builtinId="9" hidden="1"/>
    <cellStyle name="Followed Hyperlink" xfId="933" builtinId="9" hidden="1"/>
    <cellStyle name="Followed Hyperlink" xfId="935" builtinId="9" hidden="1"/>
    <cellStyle name="Followed Hyperlink" xfId="937" builtinId="9" hidden="1"/>
    <cellStyle name="Followed Hyperlink" xfId="939" builtinId="9" hidden="1"/>
    <cellStyle name="Followed Hyperlink" xfId="941" builtinId="9" hidden="1"/>
    <cellStyle name="Followed Hyperlink" xfId="943" builtinId="9" hidden="1"/>
    <cellStyle name="Followed Hyperlink" xfId="945" builtinId="9" hidden="1"/>
    <cellStyle name="Followed Hyperlink" xfId="947" builtinId="9" hidden="1"/>
    <cellStyle name="Followed Hyperlink" xfId="949" builtinId="9" hidden="1"/>
    <cellStyle name="Followed Hyperlink" xfId="951" builtinId="9" hidden="1"/>
    <cellStyle name="Followed Hyperlink" xfId="953" builtinId="9" hidden="1"/>
    <cellStyle name="Followed Hyperlink" xfId="955" builtinId="9" hidden="1"/>
    <cellStyle name="Followed Hyperlink" xfId="957" builtinId="9" hidden="1"/>
    <cellStyle name="Followed Hyperlink" xfId="959" builtinId="9" hidden="1"/>
    <cellStyle name="Followed Hyperlink" xfId="961" builtinId="9" hidden="1"/>
    <cellStyle name="Followed Hyperlink" xfId="963" builtinId="9" hidden="1"/>
    <cellStyle name="Followed Hyperlink" xfId="965" builtinId="9" hidden="1"/>
    <cellStyle name="Followed Hyperlink" xfId="967" builtinId="9" hidden="1"/>
    <cellStyle name="Followed Hyperlink" xfId="969" builtinId="9" hidden="1"/>
    <cellStyle name="Followed Hyperlink" xfId="971" builtinId="9" hidden="1"/>
    <cellStyle name="Followed Hyperlink" xfId="973" builtinId="9" hidden="1"/>
    <cellStyle name="Followed Hyperlink" xfId="975" builtinId="9" hidden="1"/>
    <cellStyle name="Followed Hyperlink" xfId="977" builtinId="9" hidden="1"/>
    <cellStyle name="Followed Hyperlink" xfId="979" builtinId="9" hidden="1"/>
    <cellStyle name="Followed Hyperlink" xfId="981" builtinId="9" hidden="1"/>
    <cellStyle name="Followed Hyperlink" xfId="983" builtinId="9" hidden="1"/>
    <cellStyle name="Followed Hyperlink" xfId="985" builtinId="9" hidden="1"/>
    <cellStyle name="Followed Hyperlink" xfId="987" builtinId="9" hidden="1"/>
    <cellStyle name="Followed Hyperlink" xfId="989" builtinId="9" hidden="1"/>
    <cellStyle name="Followed Hyperlink" xfId="991" builtinId="9" hidden="1"/>
    <cellStyle name="Followed Hyperlink" xfId="993" builtinId="9" hidden="1"/>
    <cellStyle name="Followed Hyperlink" xfId="995" builtinId="9" hidden="1"/>
    <cellStyle name="Followed Hyperlink" xfId="997" builtinId="9" hidden="1"/>
    <cellStyle name="Followed Hyperlink" xfId="999" builtinId="9" hidden="1"/>
    <cellStyle name="Followed Hyperlink" xfId="1001" builtinId="9" hidden="1"/>
    <cellStyle name="Followed Hyperlink" xfId="1003" builtinId="9" hidden="1"/>
    <cellStyle name="Followed Hyperlink" xfId="1005" builtinId="9" hidden="1"/>
    <cellStyle name="Followed Hyperlink" xfId="1007" builtinId="9" hidden="1"/>
    <cellStyle name="Followed Hyperlink" xfId="1009" builtinId="9" hidden="1"/>
    <cellStyle name="Hyperlink" xfId="76" builtinId="8" hidden="1"/>
    <cellStyle name="Hyperlink" xfId="78" builtinId="8" hidden="1"/>
    <cellStyle name="Hyperlink" xfId="80" builtinId="8" hidden="1"/>
    <cellStyle name="Hyperlink" xfId="84" builtinId="8" hidden="1"/>
    <cellStyle name="Hyperlink" xfId="86" builtinId="8" hidden="1"/>
    <cellStyle name="Hyperlink" xfId="88" builtinId="8" hidden="1"/>
    <cellStyle name="Hyperlink" xfId="92" builtinId="8" hidden="1"/>
    <cellStyle name="Hyperlink" xfId="94" builtinId="8" hidden="1"/>
    <cellStyle name="Hyperlink" xfId="96" builtinId="8" hidden="1"/>
    <cellStyle name="Hyperlink" xfId="100" builtinId="8" hidden="1"/>
    <cellStyle name="Hyperlink" xfId="102" builtinId="8" hidden="1"/>
    <cellStyle name="Hyperlink" xfId="104" builtinId="8" hidden="1"/>
    <cellStyle name="Hyperlink" xfId="108" builtinId="8" hidden="1"/>
    <cellStyle name="Hyperlink" xfId="110" builtinId="8" hidden="1"/>
    <cellStyle name="Hyperlink" xfId="112" builtinId="8" hidden="1"/>
    <cellStyle name="Hyperlink" xfId="116" builtinId="8" hidden="1"/>
    <cellStyle name="Hyperlink" xfId="118" builtinId="8" hidden="1"/>
    <cellStyle name="Hyperlink" xfId="120" builtinId="8" hidden="1"/>
    <cellStyle name="Hyperlink" xfId="124" builtinId="8" hidden="1"/>
    <cellStyle name="Hyperlink" xfId="126" builtinId="8" hidden="1"/>
    <cellStyle name="Hyperlink" xfId="128" builtinId="8" hidden="1"/>
    <cellStyle name="Hyperlink" xfId="132" builtinId="8" hidden="1"/>
    <cellStyle name="Hyperlink" xfId="134" builtinId="8" hidden="1"/>
    <cellStyle name="Hyperlink" xfId="136" builtinId="8" hidden="1"/>
    <cellStyle name="Hyperlink" xfId="140" builtinId="8" hidden="1"/>
    <cellStyle name="Hyperlink" xfId="142" builtinId="8" hidden="1"/>
    <cellStyle name="Hyperlink" xfId="144" builtinId="8" hidden="1"/>
    <cellStyle name="Hyperlink" xfId="138" builtinId="8" hidden="1"/>
    <cellStyle name="Hyperlink" xfId="130" builtinId="8" hidden="1"/>
    <cellStyle name="Hyperlink" xfId="122" builtinId="8" hidden="1"/>
    <cellStyle name="Hyperlink" xfId="114" builtinId="8" hidden="1"/>
    <cellStyle name="Hyperlink" xfId="106" builtinId="8" hidden="1"/>
    <cellStyle name="Hyperlink" xfId="98" builtinId="8" hidden="1"/>
    <cellStyle name="Hyperlink" xfId="90" builtinId="8" hidden="1"/>
    <cellStyle name="Hyperlink" xfId="82" builtinId="8" hidden="1"/>
    <cellStyle name="Hyperlink" xfId="74" builtinId="8" hidden="1"/>
    <cellStyle name="Hyperlink" xfId="32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8" builtinId="8" hidden="1"/>
    <cellStyle name="Hyperlink" xfId="70" builtinId="8" hidden="1"/>
    <cellStyle name="Hyperlink" xfId="72" builtinId="8" hidden="1"/>
    <cellStyle name="Hyperlink" xfId="66" builtinId="8" hidden="1"/>
    <cellStyle name="Hyperlink" xfId="50" builtinId="8" hidden="1"/>
    <cellStyle name="Hyperlink" xfId="3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4" builtinId="8" hidden="1"/>
    <cellStyle name="Hyperlink" xfId="6" builtinId="8" hidden="1"/>
    <cellStyle name="Hyperlink" xfId="2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58" builtinId="8" hidden="1"/>
    <cellStyle name="Hyperlink" xfId="260" builtinId="8" hidden="1"/>
    <cellStyle name="Hyperlink" xfId="262" builtinId="8" hidden="1"/>
    <cellStyle name="Hyperlink" xfId="264" builtinId="8" hidden="1"/>
    <cellStyle name="Hyperlink" xfId="266" builtinId="8" hidden="1"/>
    <cellStyle name="Hyperlink" xfId="268" builtinId="8" hidden="1"/>
    <cellStyle name="Hyperlink" xfId="270" builtinId="8" hidden="1"/>
    <cellStyle name="Hyperlink" xfId="272" builtinId="8" hidden="1"/>
    <cellStyle name="Hyperlink" xfId="274" builtinId="8" hidden="1"/>
    <cellStyle name="Hyperlink" xfId="276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Hyperlink" xfId="348" builtinId="8" hidden="1"/>
    <cellStyle name="Hyperlink" xfId="350" builtinId="8" hidden="1"/>
    <cellStyle name="Hyperlink" xfId="352" builtinId="8" hidden="1"/>
    <cellStyle name="Hyperlink" xfId="354" builtinId="8" hidden="1"/>
    <cellStyle name="Hyperlink" xfId="356" builtinId="8" hidden="1"/>
    <cellStyle name="Hyperlink" xfId="358" builtinId="8" hidden="1"/>
    <cellStyle name="Hyperlink" xfId="360" builtinId="8" hidden="1"/>
    <cellStyle name="Hyperlink" xfId="362" builtinId="8" hidden="1"/>
    <cellStyle name="Hyperlink" xfId="364" builtinId="8" hidden="1"/>
    <cellStyle name="Hyperlink" xfId="366" builtinId="8" hidden="1"/>
    <cellStyle name="Hyperlink" xfId="368" builtinId="8" hidden="1"/>
    <cellStyle name="Hyperlink" xfId="370" builtinId="8" hidden="1"/>
    <cellStyle name="Hyperlink" xfId="372" builtinId="8" hidden="1"/>
    <cellStyle name="Hyperlink" xfId="374" builtinId="8" hidden="1"/>
    <cellStyle name="Hyperlink" xfId="376" builtinId="8" hidden="1"/>
    <cellStyle name="Hyperlink" xfId="378" builtinId="8" hidden="1"/>
    <cellStyle name="Hyperlink" xfId="380" builtinId="8" hidden="1"/>
    <cellStyle name="Hyperlink" xfId="382" builtinId="8" hidden="1"/>
    <cellStyle name="Hyperlink" xfId="384" builtinId="8" hidden="1"/>
    <cellStyle name="Hyperlink" xfId="386" builtinId="8" hidden="1"/>
    <cellStyle name="Hyperlink" xfId="388" builtinId="8" hidden="1"/>
    <cellStyle name="Hyperlink" xfId="390" builtinId="8" hidden="1"/>
    <cellStyle name="Hyperlink" xfId="392" builtinId="8" hidden="1"/>
    <cellStyle name="Hyperlink" xfId="394" builtinId="8" hidden="1"/>
    <cellStyle name="Hyperlink" xfId="396" builtinId="8" hidden="1"/>
    <cellStyle name="Hyperlink" xfId="398" builtinId="8" hidden="1"/>
    <cellStyle name="Hyperlink" xfId="400" builtinId="8" hidden="1"/>
    <cellStyle name="Hyperlink" xfId="402" builtinId="8" hidden="1"/>
    <cellStyle name="Hyperlink" xfId="404" builtinId="8" hidden="1"/>
    <cellStyle name="Hyperlink" xfId="406" builtinId="8" hidden="1"/>
    <cellStyle name="Hyperlink" xfId="408" builtinId="8" hidden="1"/>
    <cellStyle name="Hyperlink" xfId="410" builtinId="8" hidden="1"/>
    <cellStyle name="Hyperlink" xfId="412" builtinId="8" hidden="1"/>
    <cellStyle name="Hyperlink" xfId="414" builtinId="8" hidden="1"/>
    <cellStyle name="Hyperlink" xfId="416" builtinId="8" hidden="1"/>
    <cellStyle name="Hyperlink" xfId="418" builtinId="8" hidden="1"/>
    <cellStyle name="Hyperlink" xfId="420" builtinId="8" hidden="1"/>
    <cellStyle name="Hyperlink" xfId="422" builtinId="8" hidden="1"/>
    <cellStyle name="Hyperlink" xfId="424" builtinId="8" hidden="1"/>
    <cellStyle name="Hyperlink" xfId="426" builtinId="8" hidden="1"/>
    <cellStyle name="Hyperlink" xfId="428" builtinId="8" hidden="1"/>
    <cellStyle name="Hyperlink" xfId="430" builtinId="8" hidden="1"/>
    <cellStyle name="Hyperlink" xfId="432" builtinId="8" hidden="1"/>
    <cellStyle name="Hyperlink" xfId="434" builtinId="8" hidden="1"/>
    <cellStyle name="Hyperlink" xfId="436" builtinId="8" hidden="1"/>
    <cellStyle name="Hyperlink" xfId="438" builtinId="8" hidden="1"/>
    <cellStyle name="Hyperlink" xfId="440" builtinId="8" hidden="1"/>
    <cellStyle name="Hyperlink" xfId="442" builtinId="8" hidden="1"/>
    <cellStyle name="Hyperlink" xfId="444" builtinId="8" hidden="1"/>
    <cellStyle name="Hyperlink" xfId="446" builtinId="8" hidden="1"/>
    <cellStyle name="Hyperlink" xfId="448" builtinId="8" hidden="1"/>
    <cellStyle name="Hyperlink" xfId="450" builtinId="8" hidden="1"/>
    <cellStyle name="Hyperlink" xfId="452" builtinId="8" hidden="1"/>
    <cellStyle name="Hyperlink" xfId="454" builtinId="8" hidden="1"/>
    <cellStyle name="Hyperlink" xfId="456" builtinId="8" hidden="1"/>
    <cellStyle name="Hyperlink" xfId="458" builtinId="8" hidden="1"/>
    <cellStyle name="Hyperlink" xfId="460" builtinId="8" hidden="1"/>
    <cellStyle name="Hyperlink" xfId="462" builtinId="8" hidden="1"/>
    <cellStyle name="Hyperlink" xfId="464" builtinId="8" hidden="1"/>
    <cellStyle name="Hyperlink" xfId="466" builtinId="8" hidden="1"/>
    <cellStyle name="Hyperlink" xfId="468" builtinId="8" hidden="1"/>
    <cellStyle name="Hyperlink" xfId="470" builtinId="8" hidden="1"/>
    <cellStyle name="Hyperlink" xfId="472" builtinId="8" hidden="1"/>
    <cellStyle name="Hyperlink" xfId="474" builtinId="8" hidden="1"/>
    <cellStyle name="Hyperlink" xfId="476" builtinId="8" hidden="1"/>
    <cellStyle name="Hyperlink" xfId="478" builtinId="8" hidden="1"/>
    <cellStyle name="Hyperlink" xfId="480" builtinId="8" hidden="1"/>
    <cellStyle name="Hyperlink" xfId="482" builtinId="8" hidden="1"/>
    <cellStyle name="Hyperlink" xfId="484" builtinId="8" hidden="1"/>
    <cellStyle name="Hyperlink" xfId="486" builtinId="8" hidden="1"/>
    <cellStyle name="Hyperlink" xfId="488" builtinId="8" hidden="1"/>
    <cellStyle name="Hyperlink" xfId="490" builtinId="8" hidden="1"/>
    <cellStyle name="Hyperlink" xfId="492" builtinId="8" hidden="1"/>
    <cellStyle name="Hyperlink" xfId="494" builtinId="8" hidden="1"/>
    <cellStyle name="Hyperlink" xfId="496" builtinId="8" hidden="1"/>
    <cellStyle name="Hyperlink" xfId="498" builtinId="8" hidden="1"/>
    <cellStyle name="Hyperlink" xfId="500" builtinId="8" hidden="1"/>
    <cellStyle name="Hyperlink" xfId="502" builtinId="8" hidden="1"/>
    <cellStyle name="Hyperlink" xfId="504" builtinId="8" hidden="1"/>
    <cellStyle name="Hyperlink" xfId="506" builtinId="8" hidden="1"/>
    <cellStyle name="Hyperlink" xfId="508" builtinId="8" hidden="1"/>
    <cellStyle name="Hyperlink" xfId="510" builtinId="8" hidden="1"/>
    <cellStyle name="Hyperlink" xfId="512" builtinId="8" hidden="1"/>
    <cellStyle name="Hyperlink" xfId="514" builtinId="8" hidden="1"/>
    <cellStyle name="Hyperlink" xfId="516" builtinId="8" hidden="1"/>
    <cellStyle name="Hyperlink" xfId="518" builtinId="8" hidden="1"/>
    <cellStyle name="Hyperlink" xfId="520" builtinId="8" hidden="1"/>
    <cellStyle name="Hyperlink" xfId="522" builtinId="8" hidden="1"/>
    <cellStyle name="Hyperlink" xfId="524" builtinId="8" hidden="1"/>
    <cellStyle name="Hyperlink" xfId="526" builtinId="8" hidden="1"/>
    <cellStyle name="Hyperlink" xfId="528" builtinId="8" hidden="1"/>
    <cellStyle name="Hyperlink" xfId="530" builtinId="8" hidden="1"/>
    <cellStyle name="Hyperlink" xfId="532" builtinId="8" hidden="1"/>
    <cellStyle name="Hyperlink" xfId="534" builtinId="8" hidden="1"/>
    <cellStyle name="Hyperlink" xfId="536" builtinId="8" hidden="1"/>
    <cellStyle name="Hyperlink" xfId="538" builtinId="8" hidden="1"/>
    <cellStyle name="Hyperlink" xfId="540" builtinId="8" hidden="1"/>
    <cellStyle name="Hyperlink" xfId="542" builtinId="8" hidden="1"/>
    <cellStyle name="Hyperlink" xfId="544" builtinId="8" hidden="1"/>
    <cellStyle name="Hyperlink" xfId="546" builtinId="8" hidden="1"/>
    <cellStyle name="Hyperlink" xfId="548" builtinId="8" hidden="1"/>
    <cellStyle name="Hyperlink" xfId="550" builtinId="8" hidden="1"/>
    <cellStyle name="Hyperlink" xfId="552" builtinId="8" hidden="1"/>
    <cellStyle name="Hyperlink" xfId="554" builtinId="8" hidden="1"/>
    <cellStyle name="Hyperlink" xfId="556" builtinId="8" hidden="1"/>
    <cellStyle name="Hyperlink" xfId="558" builtinId="8" hidden="1"/>
    <cellStyle name="Hyperlink" xfId="560" builtinId="8" hidden="1"/>
    <cellStyle name="Hyperlink" xfId="562" builtinId="8" hidden="1"/>
    <cellStyle name="Hyperlink" xfId="564" builtinId="8" hidden="1"/>
    <cellStyle name="Hyperlink" xfId="566" builtinId="8" hidden="1"/>
    <cellStyle name="Hyperlink" xfId="568" builtinId="8" hidden="1"/>
    <cellStyle name="Hyperlink" xfId="570" builtinId="8" hidden="1"/>
    <cellStyle name="Hyperlink" xfId="572" builtinId="8" hidden="1"/>
    <cellStyle name="Hyperlink" xfId="574" builtinId="8" hidden="1"/>
    <cellStyle name="Hyperlink" xfId="576" builtinId="8" hidden="1"/>
    <cellStyle name="Hyperlink" xfId="578" builtinId="8" hidden="1"/>
    <cellStyle name="Hyperlink" xfId="580" builtinId="8" hidden="1"/>
    <cellStyle name="Hyperlink" xfId="582" builtinId="8" hidden="1"/>
    <cellStyle name="Hyperlink" xfId="584" builtinId="8" hidden="1"/>
    <cellStyle name="Hyperlink" xfId="586" builtinId="8" hidden="1"/>
    <cellStyle name="Hyperlink" xfId="588" builtinId="8" hidden="1"/>
    <cellStyle name="Hyperlink" xfId="590" builtinId="8" hidden="1"/>
    <cellStyle name="Hyperlink" xfId="592" builtinId="8" hidden="1"/>
    <cellStyle name="Hyperlink" xfId="594" builtinId="8" hidden="1"/>
    <cellStyle name="Hyperlink" xfId="596" builtinId="8" hidden="1"/>
    <cellStyle name="Hyperlink" xfId="598" builtinId="8" hidden="1"/>
    <cellStyle name="Hyperlink" xfId="600" builtinId="8" hidden="1"/>
    <cellStyle name="Hyperlink" xfId="602" builtinId="8" hidden="1"/>
    <cellStyle name="Hyperlink" xfId="604" builtinId="8" hidden="1"/>
    <cellStyle name="Hyperlink" xfId="606" builtinId="8" hidden="1"/>
    <cellStyle name="Hyperlink" xfId="608" builtinId="8" hidden="1"/>
    <cellStyle name="Hyperlink" xfId="610" builtinId="8" hidden="1"/>
    <cellStyle name="Hyperlink" xfId="612" builtinId="8" hidden="1"/>
    <cellStyle name="Hyperlink" xfId="614" builtinId="8" hidden="1"/>
    <cellStyle name="Hyperlink" xfId="616" builtinId="8" hidden="1"/>
    <cellStyle name="Hyperlink" xfId="618" builtinId="8" hidden="1"/>
    <cellStyle name="Hyperlink" xfId="620" builtinId="8" hidden="1"/>
    <cellStyle name="Hyperlink" xfId="622" builtinId="8" hidden="1"/>
    <cellStyle name="Hyperlink" xfId="624" builtinId="8" hidden="1"/>
    <cellStyle name="Hyperlink" xfId="626" builtinId="8" hidden="1"/>
    <cellStyle name="Hyperlink" xfId="628" builtinId="8" hidden="1"/>
    <cellStyle name="Hyperlink" xfId="630" builtinId="8" hidden="1"/>
    <cellStyle name="Hyperlink" xfId="632" builtinId="8" hidden="1"/>
    <cellStyle name="Hyperlink" xfId="634" builtinId="8" hidden="1"/>
    <cellStyle name="Hyperlink" xfId="636" builtinId="8" hidden="1"/>
    <cellStyle name="Hyperlink" xfId="638" builtinId="8" hidden="1"/>
    <cellStyle name="Hyperlink" xfId="640" builtinId="8" hidden="1"/>
    <cellStyle name="Hyperlink" xfId="642" builtinId="8" hidden="1"/>
    <cellStyle name="Hyperlink" xfId="644" builtinId="8" hidden="1"/>
    <cellStyle name="Hyperlink" xfId="646" builtinId="8" hidden="1"/>
    <cellStyle name="Hyperlink" xfId="648" builtinId="8" hidden="1"/>
    <cellStyle name="Hyperlink" xfId="650" builtinId="8" hidden="1"/>
    <cellStyle name="Hyperlink" xfId="652" builtinId="8" hidden="1"/>
    <cellStyle name="Hyperlink" xfId="654" builtinId="8" hidden="1"/>
    <cellStyle name="Hyperlink" xfId="656" builtinId="8" hidden="1"/>
    <cellStyle name="Hyperlink" xfId="658" builtinId="8" hidden="1"/>
    <cellStyle name="Hyperlink" xfId="660" builtinId="8" hidden="1"/>
    <cellStyle name="Hyperlink" xfId="662" builtinId="8" hidden="1"/>
    <cellStyle name="Hyperlink" xfId="664" builtinId="8" hidden="1"/>
    <cellStyle name="Hyperlink" xfId="666" builtinId="8" hidden="1"/>
    <cellStyle name="Hyperlink" xfId="668" builtinId="8" hidden="1"/>
    <cellStyle name="Hyperlink" xfId="670" builtinId="8" hidden="1"/>
    <cellStyle name="Hyperlink" xfId="672" builtinId="8" hidden="1"/>
    <cellStyle name="Hyperlink" xfId="674" builtinId="8" hidden="1"/>
    <cellStyle name="Hyperlink" xfId="676" builtinId="8" hidden="1"/>
    <cellStyle name="Hyperlink" xfId="678" builtinId="8" hidden="1"/>
    <cellStyle name="Hyperlink" xfId="680" builtinId="8" hidden="1"/>
    <cellStyle name="Hyperlink" xfId="682" builtinId="8" hidden="1"/>
    <cellStyle name="Hyperlink" xfId="684" builtinId="8" hidden="1"/>
    <cellStyle name="Hyperlink" xfId="686" builtinId="8" hidden="1"/>
    <cellStyle name="Hyperlink" xfId="688" builtinId="8" hidden="1"/>
    <cellStyle name="Hyperlink" xfId="690" builtinId="8" hidden="1"/>
    <cellStyle name="Hyperlink" xfId="692" builtinId="8" hidden="1"/>
    <cellStyle name="Hyperlink" xfId="694" builtinId="8" hidden="1"/>
    <cellStyle name="Hyperlink" xfId="696" builtinId="8" hidden="1"/>
    <cellStyle name="Hyperlink" xfId="698" builtinId="8" hidden="1"/>
    <cellStyle name="Hyperlink" xfId="700" builtinId="8" hidden="1"/>
    <cellStyle name="Hyperlink" xfId="702" builtinId="8" hidden="1"/>
    <cellStyle name="Hyperlink" xfId="704" builtinId="8" hidden="1"/>
    <cellStyle name="Hyperlink" xfId="706" builtinId="8" hidden="1"/>
    <cellStyle name="Hyperlink" xfId="708" builtinId="8" hidden="1"/>
    <cellStyle name="Hyperlink" xfId="710" builtinId="8" hidden="1"/>
    <cellStyle name="Hyperlink" xfId="712" builtinId="8" hidden="1"/>
    <cellStyle name="Hyperlink" xfId="714" builtinId="8" hidden="1"/>
    <cellStyle name="Hyperlink" xfId="716" builtinId="8" hidden="1"/>
    <cellStyle name="Hyperlink" xfId="718" builtinId="8" hidden="1"/>
    <cellStyle name="Hyperlink" xfId="720" builtinId="8" hidden="1"/>
    <cellStyle name="Hyperlink" xfId="722" builtinId="8" hidden="1"/>
    <cellStyle name="Hyperlink" xfId="724" builtinId="8" hidden="1"/>
    <cellStyle name="Hyperlink" xfId="726" builtinId="8" hidden="1"/>
    <cellStyle name="Hyperlink" xfId="728" builtinId="8" hidden="1"/>
    <cellStyle name="Hyperlink" xfId="730" builtinId="8" hidden="1"/>
    <cellStyle name="Hyperlink" xfId="732" builtinId="8" hidden="1"/>
    <cellStyle name="Hyperlink" xfId="734" builtinId="8" hidden="1"/>
    <cellStyle name="Hyperlink" xfId="736" builtinId="8" hidden="1"/>
    <cellStyle name="Hyperlink" xfId="738" builtinId="8" hidden="1"/>
    <cellStyle name="Hyperlink" xfId="740" builtinId="8" hidden="1"/>
    <cellStyle name="Hyperlink" xfId="742" builtinId="8" hidden="1"/>
    <cellStyle name="Hyperlink" xfId="744" builtinId="8" hidden="1"/>
    <cellStyle name="Hyperlink" xfId="746" builtinId="8" hidden="1"/>
    <cellStyle name="Hyperlink" xfId="748" builtinId="8" hidden="1"/>
    <cellStyle name="Hyperlink" xfId="750" builtinId="8" hidden="1"/>
    <cellStyle name="Hyperlink" xfId="752" builtinId="8" hidden="1"/>
    <cellStyle name="Hyperlink" xfId="754" builtinId="8" hidden="1"/>
    <cellStyle name="Hyperlink" xfId="756" builtinId="8" hidden="1"/>
    <cellStyle name="Hyperlink" xfId="758" builtinId="8" hidden="1"/>
    <cellStyle name="Hyperlink" xfId="760" builtinId="8" hidden="1"/>
    <cellStyle name="Hyperlink" xfId="762" builtinId="8" hidden="1"/>
    <cellStyle name="Hyperlink" xfId="764" builtinId="8" hidden="1"/>
    <cellStyle name="Hyperlink" xfId="766" builtinId="8" hidden="1"/>
    <cellStyle name="Hyperlink" xfId="768" builtinId="8" hidden="1"/>
    <cellStyle name="Hyperlink" xfId="770" builtinId="8" hidden="1"/>
    <cellStyle name="Hyperlink" xfId="772" builtinId="8" hidden="1"/>
    <cellStyle name="Hyperlink" xfId="774" builtinId="8" hidden="1"/>
    <cellStyle name="Hyperlink" xfId="776" builtinId="8" hidden="1"/>
    <cellStyle name="Hyperlink" xfId="778" builtinId="8" hidden="1"/>
    <cellStyle name="Hyperlink" xfId="780" builtinId="8" hidden="1"/>
    <cellStyle name="Hyperlink" xfId="782" builtinId="8" hidden="1"/>
    <cellStyle name="Hyperlink" xfId="784" builtinId="8" hidden="1"/>
    <cellStyle name="Hyperlink" xfId="786" builtinId="8" hidden="1"/>
    <cellStyle name="Hyperlink" xfId="788" builtinId="8" hidden="1"/>
    <cellStyle name="Hyperlink" xfId="790" builtinId="8" hidden="1"/>
    <cellStyle name="Hyperlink" xfId="792" builtinId="8" hidden="1"/>
    <cellStyle name="Hyperlink" xfId="794" builtinId="8" hidden="1"/>
    <cellStyle name="Hyperlink" xfId="796" builtinId="8" hidden="1"/>
    <cellStyle name="Hyperlink" xfId="798" builtinId="8" hidden="1"/>
    <cellStyle name="Hyperlink" xfId="800" builtinId="8" hidden="1"/>
    <cellStyle name="Hyperlink" xfId="802" builtinId="8" hidden="1"/>
    <cellStyle name="Hyperlink" xfId="804" builtinId="8" hidden="1"/>
    <cellStyle name="Hyperlink" xfId="806" builtinId="8" hidden="1"/>
    <cellStyle name="Hyperlink" xfId="808" builtinId="8" hidden="1"/>
    <cellStyle name="Hyperlink" xfId="810" builtinId="8" hidden="1"/>
    <cellStyle name="Hyperlink" xfId="812" builtinId="8" hidden="1"/>
    <cellStyle name="Hyperlink" xfId="814" builtinId="8" hidden="1"/>
    <cellStyle name="Hyperlink" xfId="816" builtinId="8" hidden="1"/>
    <cellStyle name="Hyperlink" xfId="818" builtinId="8" hidden="1"/>
    <cellStyle name="Hyperlink" xfId="820" builtinId="8" hidden="1"/>
    <cellStyle name="Hyperlink" xfId="822" builtinId="8" hidden="1"/>
    <cellStyle name="Hyperlink" xfId="824" builtinId="8" hidden="1"/>
    <cellStyle name="Hyperlink" xfId="826" builtinId="8" hidden="1"/>
    <cellStyle name="Hyperlink" xfId="828" builtinId="8" hidden="1"/>
    <cellStyle name="Hyperlink" xfId="830" builtinId="8" hidden="1"/>
    <cellStyle name="Hyperlink" xfId="832" builtinId="8" hidden="1"/>
    <cellStyle name="Hyperlink" xfId="834" builtinId="8" hidden="1"/>
    <cellStyle name="Hyperlink" xfId="836" builtinId="8" hidden="1"/>
    <cellStyle name="Hyperlink" xfId="838" builtinId="8" hidden="1"/>
    <cellStyle name="Hyperlink" xfId="840" builtinId="8" hidden="1"/>
    <cellStyle name="Hyperlink" xfId="842" builtinId="8" hidden="1"/>
    <cellStyle name="Hyperlink" xfId="844" builtinId="8" hidden="1"/>
    <cellStyle name="Hyperlink" xfId="846" builtinId="8" hidden="1"/>
    <cellStyle name="Hyperlink" xfId="848" builtinId="8" hidden="1"/>
    <cellStyle name="Hyperlink" xfId="850" builtinId="8" hidden="1"/>
    <cellStyle name="Hyperlink" xfId="852" builtinId="8" hidden="1"/>
    <cellStyle name="Hyperlink" xfId="854" builtinId="8" hidden="1"/>
    <cellStyle name="Hyperlink" xfId="856" builtinId="8" hidden="1"/>
    <cellStyle name="Hyperlink" xfId="858" builtinId="8" hidden="1"/>
    <cellStyle name="Hyperlink" xfId="860" builtinId="8" hidden="1"/>
    <cellStyle name="Hyperlink" xfId="862" builtinId="8" hidden="1"/>
    <cellStyle name="Hyperlink" xfId="864" builtinId="8" hidden="1"/>
    <cellStyle name="Hyperlink" xfId="866" builtinId="8" hidden="1"/>
    <cellStyle name="Hyperlink" xfId="868" builtinId="8" hidden="1"/>
    <cellStyle name="Hyperlink" xfId="870" builtinId="8" hidden="1"/>
    <cellStyle name="Hyperlink" xfId="872" builtinId="8" hidden="1"/>
    <cellStyle name="Hyperlink" xfId="874" builtinId="8" hidden="1"/>
    <cellStyle name="Hyperlink" xfId="876" builtinId="8" hidden="1"/>
    <cellStyle name="Hyperlink" xfId="878" builtinId="8" hidden="1"/>
    <cellStyle name="Hyperlink" xfId="880" builtinId="8" hidden="1"/>
    <cellStyle name="Hyperlink" xfId="882" builtinId="8" hidden="1"/>
    <cellStyle name="Hyperlink" xfId="884" builtinId="8" hidden="1"/>
    <cellStyle name="Hyperlink" xfId="886" builtinId="8" hidden="1"/>
    <cellStyle name="Hyperlink" xfId="888" builtinId="8" hidden="1"/>
    <cellStyle name="Hyperlink" xfId="890" builtinId="8" hidden="1"/>
    <cellStyle name="Hyperlink" xfId="892" builtinId="8" hidden="1"/>
    <cellStyle name="Hyperlink" xfId="894" builtinId="8" hidden="1"/>
    <cellStyle name="Hyperlink" xfId="896" builtinId="8" hidden="1"/>
    <cellStyle name="Hyperlink" xfId="898" builtinId="8" hidden="1"/>
    <cellStyle name="Hyperlink" xfId="900" builtinId="8" hidden="1"/>
    <cellStyle name="Hyperlink" xfId="902" builtinId="8" hidden="1"/>
    <cellStyle name="Hyperlink" xfId="904" builtinId="8" hidden="1"/>
    <cellStyle name="Hyperlink" xfId="906" builtinId="8" hidden="1"/>
    <cellStyle name="Hyperlink" xfId="908" builtinId="8" hidden="1"/>
    <cellStyle name="Hyperlink" xfId="910" builtinId="8" hidden="1"/>
    <cellStyle name="Hyperlink" xfId="912" builtinId="8" hidden="1"/>
    <cellStyle name="Hyperlink" xfId="914" builtinId="8" hidden="1"/>
    <cellStyle name="Hyperlink" xfId="916" builtinId="8" hidden="1"/>
    <cellStyle name="Hyperlink" xfId="918" builtinId="8" hidden="1"/>
    <cellStyle name="Hyperlink" xfId="920" builtinId="8" hidden="1"/>
    <cellStyle name="Hyperlink" xfId="922" builtinId="8" hidden="1"/>
    <cellStyle name="Hyperlink" xfId="924" builtinId="8" hidden="1"/>
    <cellStyle name="Hyperlink" xfId="926" builtinId="8" hidden="1"/>
    <cellStyle name="Hyperlink" xfId="928" builtinId="8" hidden="1"/>
    <cellStyle name="Hyperlink" xfId="930" builtinId="8" hidden="1"/>
    <cellStyle name="Hyperlink" xfId="932" builtinId="8" hidden="1"/>
    <cellStyle name="Hyperlink" xfId="934" builtinId="8" hidden="1"/>
    <cellStyle name="Hyperlink" xfId="936" builtinId="8" hidden="1"/>
    <cellStyle name="Hyperlink" xfId="938" builtinId="8" hidden="1"/>
    <cellStyle name="Hyperlink" xfId="940" builtinId="8" hidden="1"/>
    <cellStyle name="Hyperlink" xfId="942" builtinId="8" hidden="1"/>
    <cellStyle name="Hyperlink" xfId="944" builtinId="8" hidden="1"/>
    <cellStyle name="Hyperlink" xfId="946" builtinId="8" hidden="1"/>
    <cellStyle name="Hyperlink" xfId="948" builtinId="8" hidden="1"/>
    <cellStyle name="Hyperlink" xfId="950" builtinId="8" hidden="1"/>
    <cellStyle name="Hyperlink" xfId="952" builtinId="8" hidden="1"/>
    <cellStyle name="Hyperlink" xfId="954" builtinId="8" hidden="1"/>
    <cellStyle name="Hyperlink" xfId="956" builtinId="8" hidden="1"/>
    <cellStyle name="Hyperlink" xfId="958" builtinId="8" hidden="1"/>
    <cellStyle name="Hyperlink" xfId="960" builtinId="8" hidden="1"/>
    <cellStyle name="Hyperlink" xfId="962" builtinId="8" hidden="1"/>
    <cellStyle name="Hyperlink" xfId="964" builtinId="8" hidden="1"/>
    <cellStyle name="Hyperlink" xfId="966" builtinId="8" hidden="1"/>
    <cellStyle name="Hyperlink" xfId="968" builtinId="8" hidden="1"/>
    <cellStyle name="Hyperlink" xfId="970" builtinId="8" hidden="1"/>
    <cellStyle name="Hyperlink" xfId="972" builtinId="8" hidden="1"/>
    <cellStyle name="Hyperlink" xfId="974" builtinId="8" hidden="1"/>
    <cellStyle name="Hyperlink" xfId="976" builtinId="8" hidden="1"/>
    <cellStyle name="Hyperlink" xfId="978" builtinId="8" hidden="1"/>
    <cellStyle name="Hyperlink" xfId="980" builtinId="8" hidden="1"/>
    <cellStyle name="Hyperlink" xfId="982" builtinId="8" hidden="1"/>
    <cellStyle name="Hyperlink" xfId="984" builtinId="8" hidden="1"/>
    <cellStyle name="Hyperlink" xfId="986" builtinId="8" hidden="1"/>
    <cellStyle name="Hyperlink" xfId="988" builtinId="8" hidden="1"/>
    <cellStyle name="Hyperlink" xfId="990" builtinId="8" hidden="1"/>
    <cellStyle name="Hyperlink" xfId="992" builtinId="8" hidden="1"/>
    <cellStyle name="Hyperlink" xfId="994" builtinId="8" hidden="1"/>
    <cellStyle name="Hyperlink" xfId="996" builtinId="8" hidden="1"/>
    <cellStyle name="Hyperlink" xfId="998" builtinId="8" hidden="1"/>
    <cellStyle name="Hyperlink" xfId="1000" builtinId="8" hidden="1"/>
    <cellStyle name="Hyperlink" xfId="1002" builtinId="8" hidden="1"/>
    <cellStyle name="Hyperlink" xfId="1004" builtinId="8" hidden="1"/>
    <cellStyle name="Hyperlink" xfId="1006" builtinId="8" hidden="1"/>
    <cellStyle name="Hyperlink" xfId="1008" builtinId="8" hidden="1"/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64" formatCode="_(&quot;$&quot;* #,##0.00_);_(&quot;$&quot;* \(#,##0.00\);_(&quot;$&quot;* &quot;-&quot;??_);_(@_)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64" formatCode="_(&quot;$&quot;* #,##0.00_);_(&quot;$&quot;* \(#,##0.00\);_(&quot;$&quot;* &quot;-&quot;??_);_(@_)"/>
      <fill>
        <patternFill patternType="solid">
          <fgColor indexed="64"/>
          <bgColor theme="0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64" formatCode="_(&quot;$&quot;* #,##0.00_);_(&quot;$&quot;* \(#,##0.00\);_(&quot;$&quot;* &quot;-&quot;??_);_(@_)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34" formatCode="_-&quot;$&quot;* #,##0.00_-;\-&quot;$&quot;* #,##0.00_-;_-&quot;$&quot;* &quot;-&quot;??_-;_-@_-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64" formatCode="_(&quot;$&quot;* #,##0.00_);_(&quot;$&quot;* \(#,##0.00\);_(&quot;$&quot;* &quot;-&quot;??_);_(@_)"/>
      <fill>
        <patternFill patternType="solid">
          <fgColor indexed="64"/>
          <bgColor theme="0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30" Type="http://schemas.openxmlformats.org/officeDocument/2006/relationships/theme" Target="theme/theme1.xml"/><Relationship Id="rId31" Type="http://schemas.openxmlformats.org/officeDocument/2006/relationships/styles" Target="styles.xml"/><Relationship Id="rId32" Type="http://schemas.openxmlformats.org/officeDocument/2006/relationships/sharedStrings" Target="sharedStrings.xml"/><Relationship Id="rId9" Type="http://schemas.openxmlformats.org/officeDocument/2006/relationships/worksheet" Target="worksheets/sheet9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33" Type="http://schemas.openxmlformats.org/officeDocument/2006/relationships/calcChain" Target="calcChain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/Relationships>
</file>

<file path=xl/tables/table1.xml><?xml version="1.0" encoding="utf-8"?>
<table xmlns="http://schemas.openxmlformats.org/spreadsheetml/2006/main" id="2" name="Table2" displayName="Table2" ref="A4:G15" headerRowCount="0" totalsRowShown="0">
  <tableColumns count="7">
    <tableColumn id="1" name="Item" headerRowDxfId="11"/>
    <tableColumn id="2" name=" Price " headerRowDxfId="10" dataDxfId="9"/>
    <tableColumn id="3" name="Quantity" headerRowDxfId="8"/>
    <tableColumn id="4" name="Projected cost" headerRowDxfId="7" dataDxfId="6">
      <calculatedColumnFormula>C4*B4</calculatedColumnFormula>
    </tableColumn>
    <tableColumn id="5" name="YTD farm cost" headerRowDxfId="5" dataDxfId="4"/>
    <tableColumn id="7" name=" For What " headerRowDxfId="3" dataDxfId="2"/>
    <tableColumn id="8" name="Location Purchase" headerRowDxfId="1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11" sqref="A11"/>
    </sheetView>
  </sheetViews>
  <sheetFormatPr baseColWidth="10" defaultRowHeight="15" x14ac:dyDescent="0"/>
  <cols>
    <col min="1" max="1" width="16.33203125" customWidth="1"/>
  </cols>
  <sheetData>
    <row r="1" spans="1:1">
      <c r="A1" t="s">
        <v>245</v>
      </c>
    </row>
    <row r="2" spans="1:1">
      <c r="A2" s="118" t="s">
        <v>210</v>
      </c>
    </row>
    <row r="3" spans="1:1">
      <c r="A3" s="119">
        <v>43466</v>
      </c>
    </row>
    <row r="4" spans="1:1">
      <c r="A4" s="119">
        <v>43496</v>
      </c>
    </row>
    <row r="5" spans="1:1">
      <c r="A5" s="120">
        <v>43497</v>
      </c>
    </row>
    <row r="6" spans="1:1">
      <c r="A6" s="119">
        <v>43524</v>
      </c>
    </row>
    <row r="7" spans="1:1">
      <c r="A7" s="119">
        <v>43525</v>
      </c>
    </row>
    <row r="8" spans="1:1">
      <c r="A8" s="119">
        <v>43555</v>
      </c>
    </row>
    <row r="9" spans="1:1">
      <c r="A9" s="119">
        <v>43556</v>
      </c>
    </row>
    <row r="10" spans="1:1">
      <c r="A10" s="119">
        <v>43585</v>
      </c>
    </row>
    <row r="11" spans="1:1">
      <c r="A11" s="119">
        <v>43586</v>
      </c>
    </row>
    <row r="12" spans="1:1">
      <c r="A12" s="119">
        <v>43616</v>
      </c>
    </row>
    <row r="13" spans="1:1">
      <c r="A13" s="119">
        <v>43617</v>
      </c>
    </row>
    <row r="14" spans="1:1">
      <c r="A14" s="119">
        <v>43646</v>
      </c>
    </row>
    <row r="15" spans="1:1">
      <c r="A15" s="119">
        <v>43647</v>
      </c>
    </row>
    <row r="16" spans="1:1">
      <c r="A16" s="119">
        <v>43677</v>
      </c>
    </row>
    <row r="17" spans="1:1">
      <c r="A17" s="119">
        <v>43678</v>
      </c>
    </row>
    <row r="18" spans="1:1">
      <c r="A18" s="119">
        <v>43708</v>
      </c>
    </row>
    <row r="19" spans="1:1">
      <c r="A19" s="119">
        <v>43709</v>
      </c>
    </row>
    <row r="20" spans="1:1">
      <c r="A20" s="119">
        <v>43738</v>
      </c>
    </row>
    <row r="21" spans="1:1">
      <c r="A21" s="119">
        <v>43739</v>
      </c>
    </row>
    <row r="22" spans="1:1">
      <c r="A22" s="119">
        <v>43769</v>
      </c>
    </row>
    <row r="23" spans="1:1">
      <c r="A23" s="119">
        <v>43770</v>
      </c>
    </row>
    <row r="24" spans="1:1">
      <c r="A24" s="119">
        <v>43799</v>
      </c>
    </row>
    <row r="25" spans="1:1">
      <c r="A25" s="120">
        <v>43800</v>
      </c>
    </row>
    <row r="26" spans="1:1">
      <c r="A26" s="120">
        <v>43830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3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RowHeight="15" x14ac:dyDescent="0"/>
  <cols>
    <col min="1" max="1" width="20" style="30" customWidth="1"/>
    <col min="2" max="2" width="20" style="190" hidden="1" customWidth="1"/>
    <col min="3" max="3" width="14.5" style="141" customWidth="1"/>
    <col min="4" max="4" width="13.6640625" style="30" customWidth="1"/>
    <col min="5" max="5" width="14.6640625" style="130" customWidth="1"/>
    <col min="6" max="6" width="10.83203125" style="30"/>
    <col min="7" max="7" width="11" style="131" customWidth="1"/>
    <col min="8" max="8" width="10.83203125" style="30"/>
    <col min="9" max="9" width="11" style="131" customWidth="1"/>
    <col min="10" max="10" width="10.83203125" style="30"/>
    <col min="11" max="11" width="11" style="131" customWidth="1"/>
    <col min="12" max="12" width="11.6640625" style="30" bestFit="1" customWidth="1"/>
    <col min="13" max="13" width="11" style="131" customWidth="1"/>
    <col min="14" max="14" width="10.83203125" style="30"/>
    <col min="15" max="15" width="11" style="131" customWidth="1"/>
    <col min="16" max="16" width="10.83203125" style="30"/>
    <col min="17" max="17" width="11" style="131" customWidth="1"/>
    <col min="18" max="18" width="10.83203125" style="30"/>
    <col min="19" max="19" width="11" style="131" customWidth="1"/>
    <col min="20" max="20" width="12.5" style="30" customWidth="1"/>
    <col min="21" max="21" width="11" style="30" customWidth="1"/>
    <col min="22" max="22" width="10.83203125" style="30"/>
    <col min="23" max="23" width="11" style="30" customWidth="1"/>
    <col min="24" max="24" width="10.83203125" style="30"/>
    <col min="25" max="25" width="11" style="30" customWidth="1"/>
    <col min="26" max="26" width="10.83203125" style="30"/>
    <col min="27" max="27" width="11.5" style="30" customWidth="1"/>
    <col min="28" max="28" width="11.6640625" style="30" bestFit="1" customWidth="1"/>
    <col min="29" max="16384" width="10.83203125" style="30"/>
  </cols>
  <sheetData>
    <row r="1" spans="1:28" s="77" customFormat="1" ht="30" customHeight="1">
      <c r="B1" s="185" t="s">
        <v>182</v>
      </c>
      <c r="C1" s="134" t="s">
        <v>177</v>
      </c>
      <c r="D1" s="77" t="s">
        <v>178</v>
      </c>
      <c r="E1" s="101" t="s">
        <v>179</v>
      </c>
      <c r="F1" s="77" t="s">
        <v>180</v>
      </c>
      <c r="G1" s="90" t="s">
        <v>206</v>
      </c>
      <c r="H1" s="77" t="s">
        <v>207</v>
      </c>
      <c r="I1" s="90" t="s">
        <v>187</v>
      </c>
      <c r="J1" s="77" t="s">
        <v>188</v>
      </c>
      <c r="K1" s="90" t="s">
        <v>189</v>
      </c>
      <c r="L1" s="77" t="s">
        <v>190</v>
      </c>
      <c r="M1" s="90" t="s">
        <v>191</v>
      </c>
      <c r="N1" s="77" t="s">
        <v>192</v>
      </c>
      <c r="O1" s="90" t="s">
        <v>193</v>
      </c>
      <c r="P1" s="77" t="s">
        <v>194</v>
      </c>
      <c r="Q1" s="90" t="s">
        <v>195</v>
      </c>
      <c r="R1" s="77" t="s">
        <v>196</v>
      </c>
      <c r="S1" s="90" t="s">
        <v>197</v>
      </c>
      <c r="T1" s="77" t="s">
        <v>198</v>
      </c>
      <c r="U1" s="90" t="s">
        <v>199</v>
      </c>
      <c r="V1" s="77" t="s">
        <v>200</v>
      </c>
      <c r="W1" s="90" t="s">
        <v>201</v>
      </c>
      <c r="X1" s="77" t="s">
        <v>202</v>
      </c>
      <c r="Y1" s="90" t="s">
        <v>203</v>
      </c>
      <c r="Z1" s="77" t="s">
        <v>204</v>
      </c>
      <c r="AA1" s="90" t="s">
        <v>208</v>
      </c>
      <c r="AB1" s="77" t="s">
        <v>211</v>
      </c>
    </row>
    <row r="2" spans="1:28" s="253" customFormat="1" ht="16" customHeight="1">
      <c r="B2" s="254"/>
      <c r="C2" s="268" t="s">
        <v>282</v>
      </c>
      <c r="D2" s="268"/>
      <c r="E2" s="268"/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268"/>
      <c r="Q2" s="268"/>
      <c r="R2" s="268"/>
      <c r="S2" s="268"/>
      <c r="T2" s="268"/>
      <c r="U2" s="268"/>
      <c r="V2" s="268"/>
      <c r="W2" s="268"/>
      <c r="X2" s="268"/>
      <c r="Y2" s="268"/>
      <c r="Z2" s="268"/>
      <c r="AA2" s="268"/>
      <c r="AB2" s="268"/>
    </row>
    <row r="3" spans="1:28" customFormat="1">
      <c r="A3" s="117" t="s">
        <v>214</v>
      </c>
      <c r="B3" s="149"/>
      <c r="C3" s="135"/>
      <c r="E3" s="102"/>
      <c r="F3" s="12"/>
      <c r="G3" s="107"/>
      <c r="I3" s="107"/>
      <c r="K3" s="107"/>
      <c r="M3" s="107"/>
      <c r="O3" s="107"/>
      <c r="Q3" s="107"/>
      <c r="S3" s="107"/>
      <c r="U3" s="91"/>
      <c r="W3" s="91"/>
      <c r="Y3" s="91"/>
      <c r="AA3" s="91"/>
    </row>
    <row r="4" spans="1:28" s="66" customFormat="1">
      <c r="A4" s="191" t="s">
        <v>167</v>
      </c>
      <c r="B4" s="78"/>
      <c r="C4" s="136"/>
      <c r="E4" s="103"/>
      <c r="G4" s="108"/>
      <c r="I4" s="108"/>
      <c r="K4" s="108"/>
      <c r="M4" s="108"/>
      <c r="O4" s="108"/>
      <c r="Q4" s="108"/>
      <c r="S4" s="108"/>
      <c r="U4" s="96"/>
      <c r="W4" s="96"/>
      <c r="Y4" s="96"/>
      <c r="AA4" s="96"/>
    </row>
    <row r="5" spans="1:28" customFormat="1">
      <c r="B5" s="149"/>
      <c r="C5" s="135"/>
      <c r="E5" s="102"/>
      <c r="G5" s="107"/>
      <c r="I5" s="107"/>
      <c r="K5" s="107"/>
      <c r="M5" s="107"/>
      <c r="O5" s="107"/>
      <c r="Q5" s="107"/>
      <c r="S5" s="107"/>
      <c r="U5" s="91"/>
      <c r="W5" s="91"/>
      <c r="Y5" s="91"/>
      <c r="AA5" s="91"/>
    </row>
    <row r="6" spans="1:28" s="1" customFormat="1">
      <c r="A6" s="70" t="s">
        <v>51</v>
      </c>
      <c r="B6" s="187"/>
      <c r="C6" s="135"/>
      <c r="E6" s="98"/>
      <c r="G6" s="97"/>
      <c r="I6" s="97"/>
      <c r="K6" s="97"/>
      <c r="M6" s="97"/>
      <c r="O6" s="97"/>
      <c r="Q6" s="97"/>
      <c r="S6" s="97"/>
      <c r="U6" s="92"/>
      <c r="W6" s="92"/>
      <c r="Y6" s="92"/>
      <c r="AA6" s="92"/>
    </row>
    <row r="7" spans="1:28" s="45" customFormat="1">
      <c r="A7" s="85" t="s">
        <v>170</v>
      </c>
      <c r="B7" s="188">
        <v>40</v>
      </c>
      <c r="C7" s="105">
        <v>0</v>
      </c>
      <c r="D7" s="45">
        <f>COUNTIFS('Income tracking'!A:A,"&gt;="&amp;Months!A3,'Income tracking'!A:A,"&lt;="&amp;Months!A4,'Income tracking'!B:B, "CSA")</f>
        <v>0</v>
      </c>
      <c r="E7" s="102">
        <v>0</v>
      </c>
      <c r="F7" s="45">
        <f>COUNTIFS('Income tracking'!A:A,"&gt;="&amp;Months!A5,'Income tracking'!A:A,"&lt;="&amp;Months!A6,'Income tracking'!B:B, "CSA")</f>
        <v>0</v>
      </c>
      <c r="G7" s="102">
        <v>0</v>
      </c>
      <c r="H7" s="45">
        <f>COUNTIFS('Income tracking'!A:A,"&gt;="&amp;Months!A7,'Income tracking'!A:A,"&lt;="&amp;Months!A8,'Income tracking'!B:B, "CSA")</f>
        <v>0</v>
      </c>
      <c r="I7" s="102">
        <v>0</v>
      </c>
      <c r="J7" s="45">
        <f>COUNTIFS('Income tracking'!A:A,"&gt;="&amp;Months!A9,'Income tracking'!A:A,"&lt;="&amp;Months!A10,'Income tracking'!B:B, "CSA")</f>
        <v>0</v>
      </c>
      <c r="K7" s="102">
        <v>0</v>
      </c>
      <c r="L7" s="45">
        <f>COUNTIFS('Income tracking'!A:A,"&gt;="&amp;Months!A11,'Income tracking'!A:A,"&lt;="&amp;Months!A12,'Income tracking'!B:B, "CSA")</f>
        <v>0</v>
      </c>
      <c r="M7" s="102">
        <v>0</v>
      </c>
      <c r="N7" s="45">
        <f>COUNTIFS('Income tracking'!A:A,"&gt;="&amp;Months!A13,'Income tracking'!A:A,"&lt;="&amp;Months!A14,'Income tracking'!B:B, "CSA")</f>
        <v>0</v>
      </c>
      <c r="O7" s="102">
        <v>0</v>
      </c>
      <c r="P7" s="45">
        <f>COUNTIFS('Income tracking'!A:A,"&gt;="&amp;Months!A15,'Income tracking'!A:A,"&lt;="&amp;Months!A16,'Income tracking'!B:B, "CSA")</f>
        <v>0</v>
      </c>
      <c r="Q7" s="102">
        <v>0</v>
      </c>
      <c r="R7" s="45">
        <f>COUNTIFS('Income tracking'!A:A,"&gt;="&amp;Months!A17,'Income tracking'!A:A,"&lt;="&amp;Months!A18,'Income tracking'!B:B, "CSA")</f>
        <v>0</v>
      </c>
      <c r="S7" s="102">
        <v>0</v>
      </c>
      <c r="T7" s="45">
        <f>COUNTIFS('Income tracking'!A:A,"&gt;="&amp;Months!A19,'Income tracking'!A:A,"&lt;="&amp;Months!A20,'Income tracking'!B:B, "CSA")</f>
        <v>0</v>
      </c>
      <c r="U7" s="93">
        <v>0</v>
      </c>
      <c r="V7" s="45">
        <f>COUNTIFS('Income tracking'!A:A,"&gt;="&amp;Months!A21,'Income tracking'!A:A,"&lt;="&amp;Months!A22,'Income tracking'!B:B, "CSA")</f>
        <v>0</v>
      </c>
      <c r="W7" s="93">
        <v>0</v>
      </c>
      <c r="X7" s="45">
        <f>COUNTIFS('Income tracking'!A:A,"&gt;="&amp;Months!A23,'Income tracking'!A:A,"&lt;="&amp;Months!A24,'Income tracking'!B:B, "CSA")</f>
        <v>0</v>
      </c>
      <c r="Y7" s="93"/>
      <c r="Z7" s="45">
        <f>COUNTIFS('Income tracking'!A:A,"&gt;="&amp;Months!A25,'Income tracking'!A:A,"&lt;="&amp;Months!A26,'Income tracking'!B:B, "CSA")</f>
        <v>0</v>
      </c>
      <c r="AA7" s="93">
        <f>SUM(Y7,W7,U7,S7,Q7,O7,M7,K7,I7,G7,E7,C7)</f>
        <v>0</v>
      </c>
      <c r="AB7" s="45">
        <f>SUM(Z7,X7,V7,T7,R7,P7,N7,L7,J7,H7,F7,D7)</f>
        <v>0</v>
      </c>
    </row>
    <row r="8" spans="1:28" customFormat="1">
      <c r="A8" s="65" t="s">
        <v>209</v>
      </c>
      <c r="B8" s="189">
        <v>600</v>
      </c>
      <c r="C8" s="142">
        <v>0</v>
      </c>
      <c r="D8" s="1"/>
      <c r="E8" s="97">
        <v>0</v>
      </c>
      <c r="F8" s="1"/>
      <c r="G8" s="97">
        <v>0</v>
      </c>
      <c r="H8" s="1"/>
      <c r="I8" s="97">
        <v>0</v>
      </c>
      <c r="J8" s="1"/>
      <c r="K8" s="97">
        <v>0</v>
      </c>
      <c r="L8" s="1"/>
      <c r="M8" s="97">
        <v>0</v>
      </c>
      <c r="N8" s="1"/>
      <c r="O8" s="97">
        <v>0</v>
      </c>
      <c r="P8" s="1"/>
      <c r="Q8" s="97">
        <v>0</v>
      </c>
      <c r="R8" s="1"/>
      <c r="S8" s="97">
        <v>0</v>
      </c>
      <c r="T8" s="1"/>
      <c r="U8" s="92">
        <v>0</v>
      </c>
      <c r="V8" s="1"/>
      <c r="W8" s="92">
        <v>0</v>
      </c>
      <c r="X8" s="1"/>
      <c r="Y8" s="92"/>
      <c r="Z8" s="1"/>
      <c r="AA8" s="92"/>
      <c r="AB8" s="1"/>
    </row>
    <row r="9" spans="1:28" s="84" customFormat="1">
      <c r="A9" s="81" t="s">
        <v>171</v>
      </c>
      <c r="B9" s="187">
        <f>B8*B7</f>
        <v>24000</v>
      </c>
      <c r="C9" s="143">
        <f>C8*C7</f>
        <v>0</v>
      </c>
      <c r="D9" s="84">
        <f>SUMIFS('Income tracking'!C:C,'Income tracking'!A:A,"&gt;="&amp;Months!A3,'Income tracking'!A:A,"&lt;="&amp;Months!A4,'Income tracking'!B:B, "CSA")</f>
        <v>0</v>
      </c>
      <c r="E9" s="100">
        <f>E8*E7</f>
        <v>0</v>
      </c>
      <c r="F9" s="84">
        <f>SUMIFS('Income tracking'!C:C,'Income tracking'!A:A,"&gt;="&amp;Months!A5,'Income tracking'!A:A,"&lt;="&amp;Months!A6,'Income tracking'!B:B, "CSA")</f>
        <v>0</v>
      </c>
      <c r="G9" s="100">
        <f>SUM(G7*G8)</f>
        <v>0</v>
      </c>
      <c r="H9" s="84">
        <f>SUMIFS('Income tracking'!C:C,'Income tracking'!A:A,"&gt;="&amp;Months!A7,'Income tracking'!A:A,"&lt;="&amp;Months!A8,'Income tracking'!B:B, "CSA")</f>
        <v>0</v>
      </c>
      <c r="I9" s="100">
        <f>I8*I7</f>
        <v>0</v>
      </c>
      <c r="J9" s="84">
        <f>SUMIFS('Income tracking'!C:C,'Income tracking'!A:A,"&gt;="&amp;Months!A9,'Income tracking'!A:A,"&lt;="&amp;Months!A10,'Income tracking'!B:B, "CSA")</f>
        <v>0</v>
      </c>
      <c r="K9" s="100">
        <f>K8*K7</f>
        <v>0</v>
      </c>
      <c r="L9" s="84">
        <f>SUMIFS('Income tracking'!C:C,'Income tracking'!A:A,"&gt;="&amp;Months!A11,'Income tracking'!A:A,"&lt;="&amp;Months!A12,'Income tracking'!B:B, "CSA")</f>
        <v>0</v>
      </c>
      <c r="M9" s="100">
        <f>M8*M7</f>
        <v>0</v>
      </c>
      <c r="N9" s="84">
        <f>SUMIFS('Income tracking'!C:C,'Income tracking'!A:A,"&gt;="&amp;Months!A13,'Income tracking'!A:A,"&lt;="&amp;Months!A14,'Income tracking'!B:B, "CSA")</f>
        <v>0</v>
      </c>
      <c r="O9" s="100">
        <f>O8*O7</f>
        <v>0</v>
      </c>
      <c r="P9" s="84">
        <f>SUMIFS('Income tracking'!C:C,'Income tracking'!A:A,"&gt;="&amp;Months!A15,'Income tracking'!A:A,"&lt;="&amp;Months!A16,'Income tracking'!B:B, "CSA")</f>
        <v>0</v>
      </c>
      <c r="Q9" s="100">
        <f>Q8*Q7</f>
        <v>0</v>
      </c>
      <c r="R9" s="84">
        <f>SUMIFS('Income tracking'!C:C,'Income tracking'!A:A,"&gt;="&amp;Months!A17,'Income tracking'!A:A,"&lt;="&amp;Months!A18,'Income tracking'!B:B, "CSA")</f>
        <v>0</v>
      </c>
      <c r="S9" s="100">
        <f>S8*S7</f>
        <v>0</v>
      </c>
      <c r="T9" s="84">
        <f>SUMIFS('Income tracking'!C:C,'Income tracking'!A:A,"&gt;="&amp;Months!A19,'Income tracking'!A:A,"&lt;="&amp;Months!A20,'Income tracking'!B:B, "CSA")</f>
        <v>0</v>
      </c>
      <c r="U9" s="115">
        <f>U8*U7</f>
        <v>0</v>
      </c>
      <c r="V9" s="84">
        <f>SUMIFS('Income tracking'!C:C,'Income tracking'!A:A,"&gt;="&amp;Months!A21,'Income tracking'!A:A,"&lt;="&amp;Months!A22,'Income tracking'!B:B, "CSA")</f>
        <v>0</v>
      </c>
      <c r="W9" s="115">
        <f>W8*W7</f>
        <v>0</v>
      </c>
      <c r="X9" s="84">
        <f>SUMIFS('Income tracking'!C:C,'Income tracking'!A:A,"&gt;="&amp;Months!A23,'Income tracking'!A:A,"&lt;="&amp;Months!A24,'Income tracking'!B:B, "CSA")</f>
        <v>0</v>
      </c>
      <c r="Y9" s="115">
        <f>Y8*Y7</f>
        <v>0</v>
      </c>
      <c r="Z9" s="84">
        <f>SUMIFS('Income tracking'!C:C,'Income tracking'!A:A,"&gt;="&amp;Months!A25,'Income tracking'!A:A,"&lt;="&amp;Months!A26,'Income tracking'!B:B, "CSA")</f>
        <v>0</v>
      </c>
      <c r="AA9" s="115">
        <f>SUM(Y9,W9,U9,S9,Q9,O9,M9,K9,I9,G9,E9,C9)</f>
        <v>0</v>
      </c>
      <c r="AB9" s="84">
        <f>SUM(Z9,X9,V9,T9,R9,P9,N9,L9,J9,H9,F9,D9)</f>
        <v>0</v>
      </c>
    </row>
    <row r="10" spans="1:28" customFormat="1">
      <c r="A10" s="3"/>
      <c r="B10" s="187"/>
      <c r="C10" s="142"/>
      <c r="E10" s="102"/>
      <c r="G10" s="107"/>
      <c r="I10" s="107"/>
      <c r="K10" s="107"/>
      <c r="M10" s="107"/>
      <c r="O10" s="107"/>
      <c r="Q10" s="107"/>
      <c r="S10" s="107"/>
      <c r="U10" s="91"/>
      <c r="W10" s="91"/>
      <c r="Y10" s="91"/>
      <c r="AA10" s="91"/>
    </row>
    <row r="11" spans="1:28" customFormat="1">
      <c r="A11" s="25" t="s">
        <v>168</v>
      </c>
      <c r="B11" s="187"/>
      <c r="C11" s="142"/>
      <c r="E11" s="102"/>
      <c r="G11" s="107"/>
      <c r="I11" s="107"/>
      <c r="K11" s="107"/>
      <c r="M11" s="107"/>
      <c r="O11" s="107"/>
      <c r="Q11" s="107"/>
      <c r="S11" s="107"/>
      <c r="U11" s="91"/>
      <c r="W11" s="91"/>
      <c r="Y11" s="91"/>
      <c r="AA11" s="91"/>
    </row>
    <row r="12" spans="1:28" customFormat="1">
      <c r="A12" s="49" t="s">
        <v>213</v>
      </c>
      <c r="B12" s="189">
        <v>2000</v>
      </c>
      <c r="C12" s="142">
        <v>0</v>
      </c>
      <c r="D12" s="1">
        <f>SUMIFS('Income tracking'!C:C,'Income tracking'!A:A,"&gt;="&amp;Months!A3,'Income tracking'!A:A,"&lt;="&amp;Months!A4,'Income tracking'!B:B, "LFM")</f>
        <v>0</v>
      </c>
      <c r="E12" s="97">
        <v>0</v>
      </c>
      <c r="F12" s="1">
        <f>SUMIFS('Income tracking'!C:C,'Income tracking'!A:A,"&gt;="&amp;Months!A5,'Income tracking'!A:A,"&lt;="&amp;Months!A6,'Income tracking'!B:B, "LFM")</f>
        <v>0</v>
      </c>
      <c r="G12" s="97">
        <v>0</v>
      </c>
      <c r="H12" s="1">
        <f>SUMIFS('Income tracking'!C:C,'Income tracking'!A:A,"&gt;="&amp;Months!A7,'Income tracking'!A:A,"&lt;="&amp;Months!A8,'Income tracking'!B:B, "LFM")</f>
        <v>0</v>
      </c>
      <c r="I12" s="97">
        <v>0</v>
      </c>
      <c r="J12" s="1">
        <f>SUMIFS('Income tracking'!C:C,'Income tracking'!A:A,"&gt;="&amp;Months!A9,'Income tracking'!A:A,"&lt;="&amp;Months!A10,'Income tracking'!B:B, "LFM")</f>
        <v>0</v>
      </c>
      <c r="K12" s="97">
        <f>0</f>
        <v>0</v>
      </c>
      <c r="L12" s="1">
        <f>SUMIFS('Income tracking'!C:C,'Income tracking'!A:A,"&gt;="&amp;Months!A11,'Income tracking'!A:A,"&lt;="&amp;Months!A12,'Income tracking'!B:B, "LFM")</f>
        <v>0</v>
      </c>
      <c r="M12" s="97">
        <v>0</v>
      </c>
      <c r="N12" s="1">
        <f>SUMIFS('Income tracking'!C:C,'Income tracking'!A:A,"&gt;="&amp;Months!A13,'Income tracking'!A:A,"&lt;="&amp;Months!A14,'Income tracking'!B:B, "LFM")</f>
        <v>0</v>
      </c>
      <c r="O12" s="97">
        <v>0</v>
      </c>
      <c r="P12" s="1">
        <f>SUMIFS('Income tracking'!C:C,'Income tracking'!A:A,"&gt;="&amp;Months!A15,'Income tracking'!A:A,"&lt;="&amp;Months!A16,'Income tracking'!B:B, "LFM")</f>
        <v>0</v>
      </c>
      <c r="Q12" s="97">
        <v>0</v>
      </c>
      <c r="R12" s="1">
        <f>SUMIFS('Income tracking'!C:C,'Income tracking'!A:A,"&gt;="&amp;Months!A17,'Income tracking'!A:A,"&lt;="&amp;Months!A18,'Income tracking'!B:B, "LFM")</f>
        <v>0</v>
      </c>
      <c r="S12" s="97">
        <v>0</v>
      </c>
      <c r="T12" s="1">
        <f>SUMIFS('Income tracking'!C:C,'Income tracking'!A:A,"&gt;="&amp;Months!A19,'Income tracking'!A:A,"&lt;="&amp;Months!A20,'Income tracking'!B:B, "LFM")</f>
        <v>0</v>
      </c>
      <c r="U12" s="92">
        <v>0</v>
      </c>
      <c r="V12" s="1">
        <f>SUMIFS('Income tracking'!C:C,'Income tracking'!A:A,"&gt;="&amp;Months!A21,'Income tracking'!A:A,"&lt;="&amp;Months!A22,'Income tracking'!B:B, "LFM")</f>
        <v>0</v>
      </c>
      <c r="W12" s="92">
        <f>0</f>
        <v>0</v>
      </c>
      <c r="X12" s="1">
        <f>SUMIFS('Income tracking'!C:C,'Income tracking'!A:A,"&gt;="&amp;Months!A23,'Income tracking'!A:A,"&lt;="&amp;Months!A24,'Income tracking'!B:B, "LFM")</f>
        <v>0</v>
      </c>
      <c r="Y12" s="92">
        <f>0</f>
        <v>0</v>
      </c>
      <c r="Z12" s="1">
        <f>SUMIFS('Income tracking'!C:C,'Income tracking'!A:A,"&gt;="&amp;Months!A25,'Income tracking'!A:A,"&lt;="&amp;Months!A26,'Income tracking'!B:B, "LFM")</f>
        <v>0</v>
      </c>
      <c r="AA12" s="92">
        <v>0</v>
      </c>
      <c r="AB12" s="72">
        <f t="shared" ref="AA12:AB14" si="0">SUM(Z12,X12,V12,T12,R12,P12,N12,L12,J12,H12,F12,D12)</f>
        <v>0</v>
      </c>
    </row>
    <row r="13" spans="1:28" customFormat="1">
      <c r="A13" s="49" t="s">
        <v>212</v>
      </c>
      <c r="B13" s="189">
        <v>18600</v>
      </c>
      <c r="C13" s="142">
        <v>0</v>
      </c>
      <c r="D13" s="1">
        <f>SUMIFS('Income tracking'!C:C,'Income tracking'!A:A,"&gt;="&amp;Months!A3,'Income tracking'!A:A,"&lt;="&amp;Months!A4,'Income tracking'!B:B, "CFM")</f>
        <v>0</v>
      </c>
      <c r="E13" s="97">
        <v>0</v>
      </c>
      <c r="F13" s="1">
        <f>SUMIFS('Income tracking'!C:C,'Income tracking'!A:A,"&gt;="&amp;Months!A5,'Income tracking'!A:A,"&lt;="&amp;Months!A6,'Income tracking'!B:B, "CFM")</f>
        <v>0</v>
      </c>
      <c r="G13" s="97">
        <v>0</v>
      </c>
      <c r="H13" s="1">
        <f>SUMIFS('Income tracking'!C:C,'Income tracking'!A:A,"&gt;="&amp;Months!A7,'Income tracking'!A:A,"&lt;="&amp;Months!A8,'Income tracking'!B:B, "CFM")</f>
        <v>0</v>
      </c>
      <c r="I13" s="97">
        <v>0</v>
      </c>
      <c r="J13" s="1">
        <f>SUMIFS('Income tracking'!C:C,'Income tracking'!A:A,"&gt;="&amp;Months!A9,'Income tracking'!A:A,"&lt;="&amp;Months!A10,'Income tracking'!B:B, "CFM")</f>
        <v>0</v>
      </c>
      <c r="K13" s="97">
        <v>0</v>
      </c>
      <c r="L13" s="1">
        <f>SUMIFS('Income tracking'!C:C,'Income tracking'!A:A,"&gt;="&amp;Months!A11,'Income tracking'!A:A,"&lt;="&amp;Months!A12,'Income tracking'!B:B, "CFM")</f>
        <v>0</v>
      </c>
      <c r="M13" s="97">
        <v>0</v>
      </c>
      <c r="N13" s="1">
        <f>SUMIFS('Income tracking'!C:C,'Income tracking'!A:A,"&gt;="&amp;Months!A13,'Income tracking'!A:A,"&lt;="&amp;Months!A14,'Income tracking'!B:B, "CFM")</f>
        <v>0</v>
      </c>
      <c r="O13" s="97">
        <v>0</v>
      </c>
      <c r="P13" s="1">
        <f>SUMIFS('Income tracking'!C:C,'Income tracking'!A:A,"&gt;="&amp;Months!A15,'Income tracking'!A:A,"&lt;="&amp;Months!A16,'Income tracking'!B:B, "CFM")</f>
        <v>0</v>
      </c>
      <c r="Q13" s="97">
        <v>0</v>
      </c>
      <c r="R13" s="1">
        <f>SUMIFS('Income tracking'!C:C,'Income tracking'!A:A,"&gt;="&amp;Months!A17,'Income tracking'!A:A,"&lt;="&amp;Months!A18,'Income tracking'!B:B, "CFM")</f>
        <v>0</v>
      </c>
      <c r="S13" s="97">
        <v>0</v>
      </c>
      <c r="T13" s="1">
        <f>SUMIFS('Income tracking'!C:C,'Income tracking'!A:A,"&gt;="&amp;Months!A19,'Income tracking'!A:A,"&lt;="&amp;Months!A20,'Income tracking'!B:B, "CFM")</f>
        <v>0</v>
      </c>
      <c r="U13" s="92">
        <v>0</v>
      </c>
      <c r="V13" s="1">
        <f>SUMIFS('Income tracking'!C:C,'Income tracking'!A:A,"&gt;="&amp;Months!A21,'Income tracking'!A:A,"&lt;="&amp;Months!A22,'Income tracking'!B:B, "CFM")</f>
        <v>0</v>
      </c>
      <c r="W13" s="92">
        <v>0</v>
      </c>
      <c r="X13" s="1">
        <f>SUMIFS('Income tracking'!C:C,'Income tracking'!A:A,"&gt;="&amp;Months!A23,'Income tracking'!A:A,"&lt;="&amp;Months!A24,'Income tracking'!B:B, "CFM")</f>
        <v>0</v>
      </c>
      <c r="Y13" s="92">
        <f>0</f>
        <v>0</v>
      </c>
      <c r="Z13" s="1">
        <f>SUMIFS('Income tracking'!C:C,'Income tracking'!A:A,"&gt;="&amp;Months!A25,'Income tracking'!A:A,"&lt;="&amp;Months!A26,'Income tracking'!B:B, "CFM")</f>
        <v>0</v>
      </c>
      <c r="AA13" s="92">
        <v>0</v>
      </c>
      <c r="AB13" s="72">
        <f t="shared" si="0"/>
        <v>0</v>
      </c>
    </row>
    <row r="14" spans="1:28" s="50" customFormat="1">
      <c r="A14" s="58" t="s">
        <v>172</v>
      </c>
      <c r="B14" s="187">
        <f t="shared" ref="B14:Z14" si="1">SUM(B12:B13)</f>
        <v>20600</v>
      </c>
      <c r="C14" s="113">
        <f t="shared" si="1"/>
        <v>0</v>
      </c>
      <c r="D14" s="60">
        <f t="shared" si="1"/>
        <v>0</v>
      </c>
      <c r="E14" s="114">
        <f t="shared" si="1"/>
        <v>0</v>
      </c>
      <c r="F14" s="60">
        <f t="shared" si="1"/>
        <v>0</v>
      </c>
      <c r="G14" s="114">
        <f t="shared" si="1"/>
        <v>0</v>
      </c>
      <c r="H14" s="60">
        <f t="shared" si="1"/>
        <v>0</v>
      </c>
      <c r="I14" s="114">
        <f t="shared" si="1"/>
        <v>0</v>
      </c>
      <c r="J14" s="60">
        <f t="shared" si="1"/>
        <v>0</v>
      </c>
      <c r="K14" s="114">
        <f t="shared" si="1"/>
        <v>0</v>
      </c>
      <c r="L14" s="60">
        <f t="shared" si="1"/>
        <v>0</v>
      </c>
      <c r="M14" s="114">
        <f t="shared" si="1"/>
        <v>0</v>
      </c>
      <c r="N14" s="60">
        <f t="shared" si="1"/>
        <v>0</v>
      </c>
      <c r="O14" s="114">
        <f t="shared" si="1"/>
        <v>0</v>
      </c>
      <c r="P14" s="60">
        <f t="shared" si="1"/>
        <v>0</v>
      </c>
      <c r="Q14" s="114">
        <f t="shared" si="1"/>
        <v>0</v>
      </c>
      <c r="R14" s="60">
        <f t="shared" si="1"/>
        <v>0</v>
      </c>
      <c r="S14" s="114">
        <f t="shared" si="1"/>
        <v>0</v>
      </c>
      <c r="T14" s="60">
        <f t="shared" si="1"/>
        <v>0</v>
      </c>
      <c r="U14" s="114">
        <f t="shared" si="1"/>
        <v>0</v>
      </c>
      <c r="V14" s="60">
        <f t="shared" si="1"/>
        <v>0</v>
      </c>
      <c r="W14" s="114">
        <f t="shared" si="1"/>
        <v>0</v>
      </c>
      <c r="X14" s="60">
        <f t="shared" si="1"/>
        <v>0</v>
      </c>
      <c r="Y14" s="114">
        <f t="shared" si="1"/>
        <v>0</v>
      </c>
      <c r="Z14" s="60">
        <f t="shared" si="1"/>
        <v>0</v>
      </c>
      <c r="AA14" s="114">
        <f t="shared" si="0"/>
        <v>0</v>
      </c>
      <c r="AB14" s="116">
        <f t="shared" si="0"/>
        <v>0</v>
      </c>
    </row>
    <row r="15" spans="1:28" s="2" customFormat="1">
      <c r="A15" s="3"/>
      <c r="B15" s="187"/>
      <c r="C15" s="144"/>
      <c r="E15" s="104"/>
      <c r="G15" s="94"/>
      <c r="I15" s="94"/>
      <c r="K15" s="94"/>
      <c r="M15" s="94"/>
      <c r="O15" s="94"/>
      <c r="Q15" s="94"/>
      <c r="S15" s="94"/>
      <c r="U15" s="94"/>
      <c r="W15" s="94"/>
      <c r="Y15" s="94"/>
      <c r="AA15" s="94"/>
    </row>
    <row r="16" spans="1:28" customFormat="1">
      <c r="A16" s="25" t="s">
        <v>169</v>
      </c>
      <c r="B16" s="187"/>
      <c r="C16" s="142"/>
      <c r="E16" s="102"/>
      <c r="G16" s="107"/>
      <c r="I16" s="107"/>
      <c r="K16" s="107"/>
      <c r="M16" s="107"/>
      <c r="O16" s="107"/>
      <c r="Q16" s="107"/>
      <c r="S16" s="107"/>
      <c r="U16" s="91"/>
      <c r="W16" s="91"/>
      <c r="Y16" s="91"/>
      <c r="AA16" s="91"/>
    </row>
    <row r="17" spans="1:28" s="45" customFormat="1">
      <c r="A17" s="85" t="s">
        <v>173</v>
      </c>
      <c r="B17" s="188">
        <v>33</v>
      </c>
      <c r="C17" s="99">
        <v>0</v>
      </c>
      <c r="D17" s="89">
        <f>COUNTIFS('Income tracking'!A:A,"&gt;="&amp;Months!A3,'Income tracking'!A:A,"&lt;="&amp;Months!A4,'Income tracking'!B:B, "wholesale")</f>
        <v>0</v>
      </c>
      <c r="E17" s="99">
        <v>0</v>
      </c>
      <c r="F17" s="89">
        <f>COUNTIFS('Income tracking'!A:A,"&gt;="&amp;Months!A5,'Income tracking'!A:A,"&lt;="&amp;Months!A6,'Income tracking'!B:B, "wholesale")</f>
        <v>0</v>
      </c>
      <c r="G17" s="99">
        <v>0</v>
      </c>
      <c r="H17" s="89">
        <f>COUNTIFS('Income tracking'!A:A,"&gt;="&amp;Months!A7,'Income tracking'!A:A,"&lt;="&amp;Months!A8,'Income tracking'!B:B, "wholesale")</f>
        <v>0</v>
      </c>
      <c r="I17" s="99">
        <v>0</v>
      </c>
      <c r="J17" s="89">
        <f>COUNTIFS('Income tracking'!A:A,"&gt;="&amp;Months!A9,'Income tracking'!A:A,"&lt;="&amp;Months!A10,'Income tracking'!B:B, "wholesale")</f>
        <v>0</v>
      </c>
      <c r="K17" s="99">
        <v>0</v>
      </c>
      <c r="L17" s="89">
        <f>COUNTIFS('Income tracking'!A:A,"&gt;="&amp;Months!A11,'Income tracking'!A:A,"&lt;="&amp;Months!A12,'Income tracking'!B:B, "wholesale")</f>
        <v>0</v>
      </c>
      <c r="M17" s="99">
        <v>0</v>
      </c>
      <c r="N17" s="45">
        <f>COUNTIFS('Income tracking'!A:A,"&gt;="&amp;Months!A13,'Income tracking'!A:A,"&lt;="&amp;Months!A14,'Income tracking'!B:B, "wholesale")</f>
        <v>0</v>
      </c>
      <c r="O17" s="99">
        <v>0</v>
      </c>
      <c r="P17" s="89">
        <f>COUNTIFS('Income tracking'!A:A,"&gt;="&amp;Months!A15,'Income tracking'!A:A,"&lt;="&amp;Months!A16,'Income tracking'!B:B, "wholesale")</f>
        <v>0</v>
      </c>
      <c r="Q17" s="99">
        <v>0</v>
      </c>
      <c r="R17" s="89">
        <f>COUNTIFS('Income tracking'!A:A,"&gt;="&amp;Months!A17,'Income tracking'!A:A,"&lt;="&amp;Months!A18,'Income tracking'!B:B, "wholesale")</f>
        <v>0</v>
      </c>
      <c r="S17" s="99">
        <v>0</v>
      </c>
      <c r="T17" s="89">
        <f>COUNTIFS('Income tracking'!A:A,"&gt;="&amp;Months!A19,'Income tracking'!A:A,"&lt;="&amp;Months!A20,'Income tracking'!B:B, "wholesale")</f>
        <v>0</v>
      </c>
      <c r="U17" s="95">
        <v>0</v>
      </c>
      <c r="V17" s="89">
        <f>COUNTIFS('Income tracking'!A:A,"&gt;="&amp;Months!A21,'Income tracking'!A:A,"&lt;="&amp;Months!A22,'Income tracking'!B:B, "wholesale")</f>
        <v>0</v>
      </c>
      <c r="W17" s="95">
        <v>0</v>
      </c>
      <c r="X17" s="89">
        <f>COUNTIFS('Income tracking'!A:A,"&gt;="&amp;Months!A23,'Income tracking'!A:A,"&lt;="&amp;Months!A24,'Income tracking'!B:B, "wholesale")</f>
        <v>0</v>
      </c>
      <c r="Y17" s="95">
        <v>0</v>
      </c>
      <c r="Z17" s="89">
        <f>SUMIFS('Income tracking'!C:C,'Income tracking'!A:A,"&gt;="&amp;Months!A25,'Income tracking'!A:A,"&lt;="&amp;Months!A26,'Income tracking'!B:B, "wholesale")</f>
        <v>0</v>
      </c>
      <c r="AA17" s="95">
        <v>0</v>
      </c>
      <c r="AB17" s="89">
        <f>SUM(Z17,X17,V17,T17,R17,P17,N17,L17,J17,H17,F17,D17)</f>
        <v>0</v>
      </c>
    </row>
    <row r="18" spans="1:28" customFormat="1">
      <c r="A18" s="65" t="s">
        <v>174</v>
      </c>
      <c r="B18" s="189">
        <v>50</v>
      </c>
      <c r="C18" s="135">
        <v>0</v>
      </c>
      <c r="D18" s="1"/>
      <c r="E18" s="97">
        <v>0</v>
      </c>
      <c r="F18" s="1"/>
      <c r="G18" s="97">
        <v>0</v>
      </c>
      <c r="H18" s="1"/>
      <c r="I18" s="97">
        <v>0</v>
      </c>
      <c r="J18" s="1"/>
      <c r="K18" s="97">
        <v>0</v>
      </c>
      <c r="L18" s="1"/>
      <c r="M18" s="97">
        <v>0</v>
      </c>
      <c r="N18" s="1"/>
      <c r="O18" s="97">
        <v>0</v>
      </c>
      <c r="P18" s="1"/>
      <c r="Q18" s="97">
        <v>0</v>
      </c>
      <c r="R18" s="1"/>
      <c r="S18" s="97">
        <v>0</v>
      </c>
      <c r="T18" s="1"/>
      <c r="U18" s="92">
        <v>0</v>
      </c>
      <c r="V18" s="1"/>
      <c r="W18" s="92">
        <v>0</v>
      </c>
      <c r="X18" s="1"/>
      <c r="Y18" s="92">
        <v>0</v>
      </c>
      <c r="Z18" s="1"/>
      <c r="AA18" s="92" t="e">
        <f>AA19/AA17</f>
        <v>#DIV/0!</v>
      </c>
      <c r="AB18" s="88" t="e">
        <f>AB19/AB17</f>
        <v>#DIV/0!</v>
      </c>
    </row>
    <row r="19" spans="1:28" s="76" customFormat="1">
      <c r="A19" s="58" t="s">
        <v>175</v>
      </c>
      <c r="B19" s="187">
        <f>(B18*B17)</f>
        <v>1650</v>
      </c>
      <c r="C19" s="137">
        <f t="shared" ref="C19:W19" si="2">(C18*C17)</f>
        <v>0</v>
      </c>
      <c r="D19" s="81">
        <f>SUMIFS('Income tracking'!C:C,'Income tracking'!A:A,"&gt;="&amp;Months!A3,'Income tracking'!A:A,"&lt;="&amp;Months!A4,'Income tracking'!B:B, "wholesale")</f>
        <v>0</v>
      </c>
      <c r="E19" s="113">
        <f t="shared" si="2"/>
        <v>0</v>
      </c>
      <c r="F19" s="81">
        <f>SUMIFS('Income tracking'!C:C,'Income tracking'!A:A,"&gt;="&amp;Months!A5,'Income tracking'!A:A,"&lt;="&amp;Months!A6,'Income tracking'!B:B, "wholesale")</f>
        <v>0</v>
      </c>
      <c r="G19" s="113">
        <f t="shared" si="2"/>
        <v>0</v>
      </c>
      <c r="H19" s="81">
        <f>SUMIFS('Income tracking'!C:C,'Income tracking'!A:A,"&gt;="&amp;Months!A7,'Income tracking'!A:A,"&lt;="&amp;Months!A8,'Income tracking'!B:B, "wholesale")</f>
        <v>0</v>
      </c>
      <c r="I19" s="113">
        <f t="shared" si="2"/>
        <v>0</v>
      </c>
      <c r="J19" s="81">
        <f>SUMIFS('Income tracking'!C:C,'Income tracking'!A:A,"&gt;="&amp;Months!A9,'Income tracking'!A:A,"&lt;="&amp;Months!A10,'Income tracking'!B:B, "wholesale")</f>
        <v>0</v>
      </c>
      <c r="K19" s="113">
        <f t="shared" si="2"/>
        <v>0</v>
      </c>
      <c r="L19" s="81">
        <f>SUMIFS('Income tracking'!C:C,'Income tracking'!A:A,"&gt;="&amp;Months!A11,'Income tracking'!A:A,"&lt;="&amp;Months!A12,'Income tracking'!B:B, "wholesale")</f>
        <v>0</v>
      </c>
      <c r="M19" s="113">
        <f t="shared" si="2"/>
        <v>0</v>
      </c>
      <c r="N19" s="81">
        <f>SUMIFS('Income tracking'!C:C,'Income tracking'!A:A,"&gt;="&amp;Months!A13,'Income tracking'!A:A,"&lt;="&amp;Months!A14,'Income tracking'!B:B, "wholesale")</f>
        <v>0</v>
      </c>
      <c r="O19" s="113">
        <f t="shared" si="2"/>
        <v>0</v>
      </c>
      <c r="P19" s="81">
        <f>SUMIFS('Income tracking'!C:C,'Income tracking'!A:A,"&gt;="&amp;Months!A15,'Income tracking'!A:A,"&lt;="&amp;Months!A16,'Income tracking'!B:B, "wholesale")</f>
        <v>0</v>
      </c>
      <c r="Q19" s="113">
        <f t="shared" si="2"/>
        <v>0</v>
      </c>
      <c r="R19" s="81">
        <f>SUMIFS('Income tracking'!C:C,'Income tracking'!A:A,"&gt;="&amp;Months!A17,'Income tracking'!A:A,"&lt;="&amp;Months!A18,'Income tracking'!B:B, "wholesale")</f>
        <v>0</v>
      </c>
      <c r="S19" s="113">
        <f t="shared" si="2"/>
        <v>0</v>
      </c>
      <c r="T19" s="81">
        <f>SUMIFS('Income tracking'!C:C,'Income tracking'!A:A,"&gt;="&amp;Months!A19,'Income tracking'!A:A,"&lt;="&amp;Months!A20,'Income tracking'!B:B, "wholesale")</f>
        <v>0</v>
      </c>
      <c r="U19" s="113">
        <f t="shared" si="2"/>
        <v>0</v>
      </c>
      <c r="V19" s="81">
        <f>SUMIFS('Income tracking'!C:C,'Income tracking'!A:A,"&gt;="&amp;Months!A21,'Income tracking'!A:A,"&lt;="&amp;Months!A22,'Income tracking'!B:B, "wholesale")</f>
        <v>0</v>
      </c>
      <c r="W19" s="113">
        <f t="shared" si="2"/>
        <v>0</v>
      </c>
      <c r="X19" s="84">
        <f>SUMIFS('Income tracking'!C:C,'Income tracking'!A:A,"&gt;="&amp;Months!A23,'Income tracking'!A:A,"&lt;="&amp;Months!A24,'Income tracking'!B:B, "wholesale")</f>
        <v>0</v>
      </c>
      <c r="Y19" s="114">
        <f>Y18*Y17</f>
        <v>0</v>
      </c>
      <c r="Z19" s="84">
        <f>SUMIFS('Income tracking'!C:C,'Income tracking'!A:A,"&gt;="&amp;Months!A25,'Income tracking'!A:A,"&lt;="&amp;Months!A26,'Income tracking'!B:B, "wholesale")</f>
        <v>0</v>
      </c>
      <c r="AA19" s="115">
        <f>SUM(Y19,W19,U19,S19,Q19,O19,M19,K19,I19,G19,E19,C19)</f>
        <v>0</v>
      </c>
      <c r="AB19" s="84">
        <f>SUM(Z19,X19,V19,T19,R19,P19,N19,L19,J19,H19,F19,D19)</f>
        <v>0</v>
      </c>
    </row>
    <row r="20" spans="1:28" customFormat="1">
      <c r="A20" s="4"/>
      <c r="B20" s="149"/>
      <c r="C20" s="135"/>
      <c r="E20" s="102"/>
      <c r="G20" s="107"/>
      <c r="I20" s="107"/>
      <c r="K20" s="107"/>
      <c r="M20" s="107"/>
      <c r="O20" s="107"/>
      <c r="Q20" s="107"/>
      <c r="S20" s="107"/>
      <c r="U20" s="91"/>
      <c r="W20" s="91"/>
      <c r="Y20" s="91"/>
      <c r="AA20" s="91"/>
    </row>
    <row r="21" spans="1:28" s="66" customFormat="1">
      <c r="A21" s="67" t="s">
        <v>176</v>
      </c>
      <c r="B21" s="78">
        <f>SUM(B19+B14+B9)</f>
        <v>46250</v>
      </c>
      <c r="C21" s="136">
        <f t="shared" ref="C21:AB21" si="3">SUM(C19,C14,C9)</f>
        <v>0</v>
      </c>
      <c r="D21" s="109">
        <f t="shared" si="3"/>
        <v>0</v>
      </c>
      <c r="E21" s="106">
        <f t="shared" si="3"/>
        <v>0</v>
      </c>
      <c r="F21" s="109">
        <f t="shared" si="3"/>
        <v>0</v>
      </c>
      <c r="G21" s="106">
        <f t="shared" si="3"/>
        <v>0</v>
      </c>
      <c r="H21" s="109">
        <f t="shared" si="3"/>
        <v>0</v>
      </c>
      <c r="I21" s="106">
        <f t="shared" si="3"/>
        <v>0</v>
      </c>
      <c r="J21" s="109">
        <f t="shared" si="3"/>
        <v>0</v>
      </c>
      <c r="K21" s="106">
        <f t="shared" si="3"/>
        <v>0</v>
      </c>
      <c r="L21" s="109">
        <f t="shared" si="3"/>
        <v>0</v>
      </c>
      <c r="M21" s="106">
        <f t="shared" si="3"/>
        <v>0</v>
      </c>
      <c r="N21" s="109">
        <f t="shared" si="3"/>
        <v>0</v>
      </c>
      <c r="O21" s="106">
        <f t="shared" si="3"/>
        <v>0</v>
      </c>
      <c r="P21" s="109">
        <f t="shared" si="3"/>
        <v>0</v>
      </c>
      <c r="Q21" s="106">
        <f t="shared" si="3"/>
        <v>0</v>
      </c>
      <c r="R21" s="109">
        <f t="shared" si="3"/>
        <v>0</v>
      </c>
      <c r="S21" s="106">
        <f t="shared" si="3"/>
        <v>0</v>
      </c>
      <c r="T21" s="109">
        <f t="shared" si="3"/>
        <v>0</v>
      </c>
      <c r="U21" s="110">
        <f t="shared" si="3"/>
        <v>0</v>
      </c>
      <c r="V21" s="109">
        <f t="shared" si="3"/>
        <v>0</v>
      </c>
      <c r="W21" s="110">
        <f t="shared" si="3"/>
        <v>0</v>
      </c>
      <c r="X21" s="109">
        <f t="shared" si="3"/>
        <v>0</v>
      </c>
      <c r="Y21" s="110">
        <f t="shared" si="3"/>
        <v>0</v>
      </c>
      <c r="Z21" s="109">
        <f t="shared" si="3"/>
        <v>0</v>
      </c>
      <c r="AA21" s="110">
        <f t="shared" si="3"/>
        <v>0</v>
      </c>
      <c r="AB21" s="109">
        <f t="shared" si="3"/>
        <v>0</v>
      </c>
    </row>
    <row r="22" spans="1:28" s="4" customFormat="1">
      <c r="A22" s="74"/>
      <c r="B22" s="186"/>
      <c r="C22" s="135"/>
      <c r="D22" s="124"/>
      <c r="E22" s="125"/>
      <c r="F22" s="124"/>
      <c r="G22" s="125"/>
      <c r="H22" s="124"/>
      <c r="I22" s="125"/>
      <c r="J22" s="124"/>
      <c r="K22" s="125"/>
      <c r="L22" s="124"/>
      <c r="M22" s="125"/>
      <c r="N22" s="124"/>
      <c r="O22" s="125"/>
      <c r="P22" s="124"/>
      <c r="Q22" s="125"/>
      <c r="R22" s="124"/>
      <c r="S22" s="125"/>
      <c r="T22" s="124"/>
      <c r="U22" s="128"/>
      <c r="V22" s="124"/>
      <c r="W22" s="128"/>
      <c r="X22" s="124"/>
      <c r="Y22" s="128"/>
      <c r="Z22" s="124"/>
      <c r="AA22" s="128"/>
      <c r="AB22" s="124"/>
    </row>
    <row r="23" spans="1:28" s="4" customFormat="1" hidden="1">
      <c r="A23" s="82" t="s">
        <v>229</v>
      </c>
      <c r="B23" s="186"/>
      <c r="C23" s="135"/>
      <c r="E23" s="102"/>
      <c r="G23" s="107"/>
      <c r="I23" s="107"/>
      <c r="K23" s="107"/>
      <c r="M23" s="107"/>
      <c r="O23" s="107"/>
      <c r="Q23" s="107"/>
      <c r="S23" s="107"/>
      <c r="U23" s="91"/>
      <c r="W23" s="91"/>
      <c r="Y23" s="91"/>
      <c r="AA23" s="91"/>
    </row>
    <row r="24" spans="1:28" s="126" customFormat="1" hidden="1">
      <c r="A24" s="127" t="s">
        <v>230</v>
      </c>
      <c r="B24" s="192">
        <v>13800</v>
      </c>
      <c r="C24" s="138">
        <v>0</v>
      </c>
      <c r="E24" s="129">
        <v>0</v>
      </c>
      <c r="G24" s="129">
        <v>3000</v>
      </c>
      <c r="I24" s="129">
        <v>3000</v>
      </c>
      <c r="K24" s="129">
        <v>3000</v>
      </c>
      <c r="M24" s="129">
        <v>3000</v>
      </c>
      <c r="O24" s="129">
        <v>0</v>
      </c>
      <c r="Q24" s="129">
        <v>0</v>
      </c>
      <c r="S24" s="129">
        <v>0</v>
      </c>
      <c r="U24" s="129">
        <v>0</v>
      </c>
      <c r="W24" s="129">
        <v>0</v>
      </c>
      <c r="Y24" s="129">
        <v>0</v>
      </c>
      <c r="AA24" s="129"/>
    </row>
    <row r="25" spans="1:28" s="79" customFormat="1" hidden="1">
      <c r="A25" s="121"/>
      <c r="B25" s="186"/>
      <c r="C25" s="146"/>
    </row>
    <row r="26" spans="1:28" s="150" customFormat="1" ht="30">
      <c r="A26" s="193" t="s">
        <v>235</v>
      </c>
      <c r="B26" s="194"/>
      <c r="C26" s="151">
        <f>C21-C29</f>
        <v>0</v>
      </c>
      <c r="D26" s="150">
        <f>D21-D29</f>
        <v>0</v>
      </c>
      <c r="E26" s="152">
        <f>E21-E29</f>
        <v>0</v>
      </c>
      <c r="F26" s="152">
        <f t="shared" ref="F26:Z26" si="4">F21-F29</f>
        <v>0</v>
      </c>
      <c r="G26" s="152">
        <f t="shared" si="4"/>
        <v>0</v>
      </c>
      <c r="H26" s="152">
        <f t="shared" si="4"/>
        <v>0</v>
      </c>
      <c r="I26" s="152">
        <f t="shared" si="4"/>
        <v>0</v>
      </c>
      <c r="J26" s="152">
        <f t="shared" si="4"/>
        <v>0</v>
      </c>
      <c r="K26" s="152">
        <f t="shared" si="4"/>
        <v>0</v>
      </c>
      <c r="L26" s="152">
        <f t="shared" si="4"/>
        <v>0</v>
      </c>
      <c r="M26" s="152">
        <f t="shared" si="4"/>
        <v>0</v>
      </c>
      <c r="N26" s="152">
        <f t="shared" si="4"/>
        <v>0</v>
      </c>
      <c r="O26" s="152">
        <f t="shared" si="4"/>
        <v>0</v>
      </c>
      <c r="P26" s="152">
        <f t="shared" si="4"/>
        <v>0</v>
      </c>
      <c r="Q26" s="152">
        <f t="shared" si="4"/>
        <v>0</v>
      </c>
      <c r="R26" s="152">
        <f t="shared" si="4"/>
        <v>0</v>
      </c>
      <c r="S26" s="152">
        <f t="shared" si="4"/>
        <v>0</v>
      </c>
      <c r="T26" s="152">
        <f t="shared" si="4"/>
        <v>0</v>
      </c>
      <c r="U26" s="152">
        <f t="shared" si="4"/>
        <v>0</v>
      </c>
      <c r="V26" s="152">
        <f t="shared" si="4"/>
        <v>0</v>
      </c>
      <c r="W26" s="152">
        <f t="shared" si="4"/>
        <v>0</v>
      </c>
      <c r="X26" s="152">
        <f t="shared" si="4"/>
        <v>0</v>
      </c>
      <c r="Y26" s="152">
        <f t="shared" si="4"/>
        <v>0</v>
      </c>
      <c r="Z26" s="152">
        <f t="shared" si="4"/>
        <v>0</v>
      </c>
      <c r="AA26" s="152"/>
    </row>
    <row r="27" spans="1:28" s="79" customFormat="1">
      <c r="A27" s="121"/>
      <c r="B27" s="186"/>
      <c r="C27" s="135"/>
      <c r="E27" s="92"/>
      <c r="G27" s="92"/>
      <c r="I27" s="92"/>
      <c r="K27" s="92"/>
      <c r="M27" s="92"/>
      <c r="O27" s="92"/>
      <c r="Q27" s="92"/>
      <c r="S27" s="92"/>
      <c r="U27" s="92"/>
      <c r="W27" s="92"/>
      <c r="Y27" s="92"/>
      <c r="AA27" s="92"/>
    </row>
    <row r="28" spans="1:28" customFormat="1">
      <c r="B28" s="149"/>
      <c r="C28" s="135"/>
      <c r="E28" s="102"/>
      <c r="G28" s="107"/>
      <c r="I28" s="107"/>
      <c r="K28" s="107"/>
      <c r="M28" s="107"/>
      <c r="O28" s="107"/>
      <c r="Q28" s="107"/>
      <c r="S28" s="107"/>
      <c r="U28" s="91"/>
      <c r="W28" s="91"/>
      <c r="Y28" s="91"/>
      <c r="AA28" s="91"/>
    </row>
    <row r="29" spans="1:28" s="68" customFormat="1">
      <c r="A29" s="69" t="s">
        <v>181</v>
      </c>
      <c r="B29" s="195">
        <f>SUM(B30:B42)</f>
        <v>0</v>
      </c>
      <c r="C29" s="139">
        <f>SUM(C30:C42)</f>
        <v>0</v>
      </c>
      <c r="D29" s="122">
        <f>SUM(D30:D42)</f>
        <v>0</v>
      </c>
      <c r="E29" s="123">
        <f>SUM(E30:E42)</f>
        <v>0</v>
      </c>
      <c r="F29" s="153">
        <f>SUM(F30:F42)</f>
        <v>0</v>
      </c>
      <c r="G29" s="123">
        <f>SUM(G30:G42)</f>
        <v>0</v>
      </c>
      <c r="H29" s="153">
        <f>SUM(H30:H42)</f>
        <v>0</v>
      </c>
      <c r="I29" s="123">
        <f>SUM(I30:I42)</f>
        <v>0</v>
      </c>
      <c r="J29" s="153">
        <f>SUM(J30:J42)</f>
        <v>0</v>
      </c>
      <c r="K29" s="123">
        <f>SUM(K30:K42)</f>
        <v>0</v>
      </c>
      <c r="L29" s="153">
        <f>SUM(L30:L42)</f>
        <v>0</v>
      </c>
      <c r="M29" s="123">
        <f>SUM(M30:M42)</f>
        <v>0</v>
      </c>
      <c r="N29" s="153">
        <f>SUM(N30:N42)</f>
        <v>0</v>
      </c>
      <c r="O29" s="123">
        <f>SUM(O30:O42)</f>
        <v>0</v>
      </c>
      <c r="P29" s="153">
        <f>SUM(P30:P42)</f>
        <v>0</v>
      </c>
      <c r="Q29" s="123">
        <f>SUM(Q30:Q42)</f>
        <v>0</v>
      </c>
      <c r="R29" s="153">
        <f>SUM(R30:R42)</f>
        <v>0</v>
      </c>
      <c r="S29" s="123">
        <f>SUM(S30:S42)</f>
        <v>0</v>
      </c>
      <c r="T29" s="153">
        <f>SUM(T30:T42)</f>
        <v>0</v>
      </c>
      <c r="U29" s="123">
        <f>SUM(U30:U42)</f>
        <v>0</v>
      </c>
      <c r="V29" s="153">
        <f>SUM(V30:V42)</f>
        <v>0</v>
      </c>
      <c r="W29" s="123">
        <f>SUM(W30:W42)</f>
        <v>0</v>
      </c>
      <c r="X29" s="153">
        <f>SUM(X30:X42)</f>
        <v>0</v>
      </c>
      <c r="Y29" s="123">
        <f>SUM(Y30:Y42)</f>
        <v>0</v>
      </c>
      <c r="Z29" s="153">
        <f>SUM(Z30:Z42)</f>
        <v>0</v>
      </c>
      <c r="AA29" s="123">
        <f>SUM(AA30:AA42)</f>
        <v>0</v>
      </c>
      <c r="AB29" s="123">
        <f>SUM(AB30:AB42)</f>
        <v>0</v>
      </c>
    </row>
    <row r="30" spans="1:28" s="4" customFormat="1">
      <c r="A30" s="83" t="s">
        <v>122</v>
      </c>
      <c r="B30" s="187">
        <f>'Car and truck'!D13</f>
        <v>0</v>
      </c>
      <c r="C30" s="135">
        <v>0</v>
      </c>
      <c r="D30" s="1">
        <f>SUMIFS('Expense tracking'!E:E,'Expense tracking'!A:A,"&gt;="&amp;Months!A3,'Expense tracking'!A:A,"&lt;="&amp;Months!A4,'Expense tracking'!B:B, "car")</f>
        <v>0</v>
      </c>
      <c r="E30" s="135">
        <v>0</v>
      </c>
      <c r="F30" s="1">
        <f>SUMIFS('Expense tracking'!E:E,'Expense tracking'!A:A,"&gt;="&amp;Months!A5,'Expense tracking'!A:A,"&lt;="&amp;Months!A6,'Expense tracking'!B:B, "car")</f>
        <v>0</v>
      </c>
      <c r="G30" s="135">
        <v>0</v>
      </c>
      <c r="H30" s="1">
        <f>SUMIFS('Expense tracking'!E:E,'Expense tracking'!A:A,"&gt;="&amp;Months!A7,'Expense tracking'!A:A,"&lt;="&amp;Months!A8,'Expense tracking'!B:B, "car")</f>
        <v>0</v>
      </c>
      <c r="I30" s="135">
        <v>0</v>
      </c>
      <c r="J30" s="1">
        <f>SUMIFS('Expense tracking'!E:E,'Expense tracking'!A:A,"&gt;="&amp;Months!A9,'Expense tracking'!A:A,"&lt;="&amp;Months!A10,'Expense tracking'!B:B, "car")</f>
        <v>0</v>
      </c>
      <c r="K30" s="135">
        <v>0</v>
      </c>
      <c r="L30" s="1">
        <f>SUMIFS('Expense tracking'!E:E,'Expense tracking'!A:A,"&gt;="&amp;Months!A11,'Expense tracking'!A:A,"&lt;="&amp;Months!A12,'Expense tracking'!B:B, "car")</f>
        <v>0</v>
      </c>
      <c r="M30" s="135">
        <v>0</v>
      </c>
      <c r="N30" s="1">
        <f>SUMIFS('Expense tracking'!E:E,'Expense tracking'!A:A,"&gt;="&amp;Months!A13,'Expense tracking'!A:A,"&lt;="&amp;Months!A14,'Expense tracking'!B:B, "car")</f>
        <v>0</v>
      </c>
      <c r="O30" s="135">
        <v>0</v>
      </c>
      <c r="P30" s="1">
        <f>SUMIFS('Expense tracking'!E:E,'Expense tracking'!A:A,"&gt;="&amp;Months!A15,'Expense tracking'!A:A,"&lt;="&amp;Months!A16,'Expense tracking'!B:B, "car")</f>
        <v>0</v>
      </c>
      <c r="Q30" s="135">
        <v>0</v>
      </c>
      <c r="R30" s="1">
        <f>SUMIFS('Expense tracking'!E:E,'Expense tracking'!A:A,"&gt;="&amp;Months!A17,'Expense tracking'!A:A,"&lt;="&amp;Months!A18,'Expense tracking'!B:B, "car")</f>
        <v>0</v>
      </c>
      <c r="S30" s="135">
        <v>0</v>
      </c>
      <c r="T30" s="1">
        <f>SUMIFS('Expense tracking'!E:E,'Expense tracking'!A:A,"&gt;="&amp;Months!A19,'Expense tracking'!A:A,"&lt;="&amp;Months!A20,'Expense tracking'!B:B, "car")</f>
        <v>0</v>
      </c>
      <c r="U30" s="135">
        <v>0</v>
      </c>
      <c r="V30" s="1">
        <f>SUMIFS('Expense tracking'!E:E,'Expense tracking'!A:A,"&gt;="&amp;Months!A21,'Expense tracking'!A:A,"&lt;="&amp;Months!A22,'Expense tracking'!B:B, "car")</f>
        <v>0</v>
      </c>
      <c r="W30" s="135">
        <v>0</v>
      </c>
      <c r="X30" s="1">
        <f>SUMIFS('Expense tracking'!E:E,'Expense tracking'!A:A,"&gt;="&amp;Months!A23,'Expense tracking'!A:A,"&lt;="&amp;Months!A24,'Expense tracking'!B:B, "car")</f>
        <v>0</v>
      </c>
      <c r="Y30" s="135">
        <v>0</v>
      </c>
      <c r="Z30" s="1">
        <f>SUMIFS('Expense tracking'!E:E,'Expense tracking'!A:A,"&gt;="&amp;Months!A25,'Expense tracking'!A:A,"&lt;="&amp;Months!A26,'Expense tracking'!B:B, "car")</f>
        <v>0</v>
      </c>
      <c r="AA30" s="135">
        <v>0</v>
      </c>
      <c r="AB30" s="46">
        <f t="shared" ref="AB30:AB42" si="5">SUM(Z30+X30+V30+T30+R30+P30+N30+L30+J30+H30+F30+D30)</f>
        <v>0</v>
      </c>
    </row>
    <row r="31" spans="1:28" s="4" customFormat="1">
      <c r="A31" s="83" t="s">
        <v>52</v>
      </c>
      <c r="B31" s="187">
        <f>Chemicals!D9</f>
        <v>0</v>
      </c>
      <c r="C31" s="135">
        <v>0</v>
      </c>
      <c r="D31" s="1">
        <f>SUMIFS('Expense tracking'!E:E,'Expense tracking'!A:A,"&gt;="&amp;Months!A3,'Expense tracking'!A:A,"&lt;="&amp;Months!A4,'Expense tracking'!B:B, "chemicals")</f>
        <v>0</v>
      </c>
      <c r="E31" s="135">
        <v>0</v>
      </c>
      <c r="F31" s="1">
        <f>SUMIFS('Expense tracking'!E:E,'Expense tracking'!A:A,"&gt;="&amp;Months!A5,'Expense tracking'!A:A,"&lt;="&amp;Months!A6,'Expense tracking'!B:B, "chemicals")</f>
        <v>0</v>
      </c>
      <c r="G31" s="135">
        <v>0</v>
      </c>
      <c r="H31" s="1">
        <f>SUMIFS('Expense tracking'!E:E,'Expense tracking'!A:A,"&gt;="&amp;Months!A7,'Expense tracking'!A:A,"&lt;="&amp;Months!A8,'Expense tracking'!B:B, "chemicals")</f>
        <v>0</v>
      </c>
      <c r="I31" s="135">
        <v>0</v>
      </c>
      <c r="J31" s="1">
        <f>SUMIFS('Expense tracking'!E:E,'Expense tracking'!A:A,"&gt;="&amp;Months!A9,'Expense tracking'!A:A,"&lt;="&amp;Months!A10,'Expense tracking'!B:B, "chemicals")</f>
        <v>0</v>
      </c>
      <c r="K31" s="135">
        <v>0</v>
      </c>
      <c r="L31" s="1">
        <f>SUMIFS('Expense tracking'!E:E,'Expense tracking'!A:A,"&gt;="&amp;Months!A11,'Expense tracking'!A:A,"&lt;="&amp;Months!A12,'Expense tracking'!B:B, "chemicals")</f>
        <v>0</v>
      </c>
      <c r="M31" s="135">
        <v>0</v>
      </c>
      <c r="N31" s="1">
        <f>SUMIFS('Expense tracking'!E:E,'Expense tracking'!A:A,"&gt;="&amp;Months!A13,'Expense tracking'!A:A,"&lt;="&amp;Months!A14,'Expense tracking'!B:B, "chemicals")</f>
        <v>0</v>
      </c>
      <c r="O31" s="135">
        <v>0</v>
      </c>
      <c r="P31" s="1">
        <f>SUMIFS('Expense tracking'!E:E,'Expense tracking'!A:A,"&gt;="&amp;Months!A15,'Expense tracking'!A:A,"&lt;="&amp;Months!A16,'Expense tracking'!B:B, "chemicals")</f>
        <v>0</v>
      </c>
      <c r="Q31" s="135">
        <v>0</v>
      </c>
      <c r="R31" s="1">
        <f>SUMIFS('Expense tracking'!E:E,'Expense tracking'!A:A,"&gt;="&amp;Months!A17,'Expense tracking'!A:A,"&lt;="&amp;Months!A18,'Expense tracking'!B:B, "chemicals")</f>
        <v>0</v>
      </c>
      <c r="S31" s="135">
        <v>0</v>
      </c>
      <c r="T31" s="1">
        <f>SUMIFS('Expense tracking'!E:E,'Expense tracking'!A:A,"&gt;="&amp;Months!A19,'Expense tracking'!A:A,"&lt;="&amp;Months!A20,'Expense tracking'!B:B, "chemicals")</f>
        <v>0</v>
      </c>
      <c r="U31" s="135">
        <v>0</v>
      </c>
      <c r="V31" s="1">
        <f>SUMIFS('Expense tracking'!E:E,'Expense tracking'!A:A,"&gt;="&amp;Months!A21,'Expense tracking'!A:A,"&lt;="&amp;Months!A22,'Expense tracking'!B:B, "chemicals")</f>
        <v>0</v>
      </c>
      <c r="W31" s="135">
        <v>0</v>
      </c>
      <c r="X31" s="1">
        <f>SUMIFS('Expense tracking'!E:E,'Expense tracking'!A:A,"&gt;="&amp;Months!A23,'Expense tracking'!A:A,"&lt;="&amp;Months!A24,'Expense tracking'!B:B, "chemicals")</f>
        <v>0</v>
      </c>
      <c r="Y31" s="135">
        <v>0</v>
      </c>
      <c r="Z31" s="1">
        <f>SUMIFS('Expense tracking'!E:E,'Expense tracking'!A:A,"&gt;="&amp;Months!A25,'Expense tracking'!A:A,"&lt;="&amp;Months!A26,'Expense tracking'!B:B, "chemicals")</f>
        <v>0</v>
      </c>
      <c r="AA31" s="135">
        <v>0</v>
      </c>
      <c r="AB31" s="46">
        <f t="shared" si="5"/>
        <v>0</v>
      </c>
    </row>
    <row r="32" spans="1:28" s="4" customFormat="1">
      <c r="A32" s="83" t="s">
        <v>53</v>
      </c>
      <c r="B32" s="187">
        <f>'Custom hire'!D7</f>
        <v>0</v>
      </c>
      <c r="C32" s="135">
        <v>0</v>
      </c>
      <c r="D32" s="1">
        <f>SUMIFS('Expense tracking'!E:E,'Expense tracking'!A:A,"&gt;="&amp;Months!A3,'Expense tracking'!A:A,"&lt;="&amp;Months!A4,'Expense tracking'!B:B, "custom")</f>
        <v>0</v>
      </c>
      <c r="E32" s="135">
        <v>0</v>
      </c>
      <c r="F32" s="1">
        <f>SUMIFS('Expense tracking'!E:E,'Expense tracking'!A:A,"&gt;="&amp;Months!A5,'Expense tracking'!A:A,"&lt;="&amp;Months!A6,'Expense tracking'!B:B, "custom")</f>
        <v>0</v>
      </c>
      <c r="G32" s="135">
        <v>0</v>
      </c>
      <c r="H32" s="1">
        <f>SUMIFS('Expense tracking'!E:E,'Expense tracking'!A:A,"&gt;="&amp;Months!A7,'Expense tracking'!A:A,"&lt;="&amp;Months!A8,'Expense tracking'!B:B, "custom")</f>
        <v>0</v>
      </c>
      <c r="I32" s="135">
        <v>0</v>
      </c>
      <c r="J32" s="1">
        <f>SUMIFS('Expense tracking'!E:E,'Expense tracking'!A:A,"&gt;="&amp;Months!A9,'Expense tracking'!A:A,"&lt;="&amp;Months!A10,'Expense tracking'!B:B, "custom")</f>
        <v>0</v>
      </c>
      <c r="K32" s="135">
        <v>0</v>
      </c>
      <c r="L32" s="1">
        <f>SUMIFS('Expense tracking'!E:E,'Expense tracking'!A:A,"&gt;="&amp;Months!A11,'Expense tracking'!A:A,"&lt;="&amp;Months!A12,'Expense tracking'!B:B, "custom")</f>
        <v>0</v>
      </c>
      <c r="M32" s="135">
        <v>0</v>
      </c>
      <c r="N32" s="1">
        <f>SUMIFS('Expense tracking'!E:E,'Expense tracking'!A:A,"&gt;="&amp;Months!A13,'Expense tracking'!A:A,"&lt;="&amp;Months!A14,'Expense tracking'!B:B, "custom")</f>
        <v>0</v>
      </c>
      <c r="O32" s="135">
        <v>0</v>
      </c>
      <c r="P32" s="1">
        <f>SUMIFS('Expense tracking'!E:E,'Expense tracking'!A:A,"&gt;="&amp;Months!A15,'Expense tracking'!A:A,"&lt;="&amp;Months!A16,'Expense tracking'!B:B, "custom")</f>
        <v>0</v>
      </c>
      <c r="Q32" s="135">
        <v>0</v>
      </c>
      <c r="R32" s="1">
        <f>SUMIFS('Expense tracking'!E:E,'Expense tracking'!A:A,"&gt;="&amp;Months!A17,'Expense tracking'!A:A,"&lt;="&amp;Months!A18,'Expense tracking'!B:B, "custom")</f>
        <v>0</v>
      </c>
      <c r="S32" s="135">
        <v>0</v>
      </c>
      <c r="T32" s="1">
        <f>SUMIFS('Expense tracking'!E:E,'Expense tracking'!A:A,"&gt;="&amp;Months!A19,'Expense tracking'!A:A,"&lt;="&amp;Months!A20,'Expense tracking'!B:B, "custom")</f>
        <v>0</v>
      </c>
      <c r="U32" s="135">
        <v>0</v>
      </c>
      <c r="V32" s="1">
        <f>SUMIFS('Expense tracking'!E:E,'Expense tracking'!A:A,"&gt;="&amp;Months!A21,'Expense tracking'!A:A,"&lt;="&amp;Months!A22,'Expense tracking'!B:B, "custom")</f>
        <v>0</v>
      </c>
      <c r="W32" s="135">
        <v>0</v>
      </c>
      <c r="X32" s="1">
        <f>SUMIFS('Expense tracking'!E:E,'Expense tracking'!A:A,"&gt;="&amp;Months!A23,'Expense tracking'!A:A,"&lt;="&amp;Months!A24,'Expense tracking'!B:B, "custom")</f>
        <v>0</v>
      </c>
      <c r="Y32" s="135">
        <v>0</v>
      </c>
      <c r="Z32" s="1">
        <f>SUMIFS('Expense tracking'!E:E,'Expense tracking'!A:A,"&gt;="&amp;Months!A25,'Expense tracking'!A:A,"&lt;="&amp;Months!A26,'Expense tracking'!B:B, "custom")</f>
        <v>0</v>
      </c>
      <c r="AA32" s="135">
        <v>0</v>
      </c>
      <c r="AB32" s="46">
        <f t="shared" si="5"/>
        <v>0</v>
      </c>
    </row>
    <row r="33" spans="1:28" s="4" customFormat="1">
      <c r="A33" s="83" t="s">
        <v>56</v>
      </c>
      <c r="B33" s="187">
        <f>'Fertilizers and lime'!D16</f>
        <v>0</v>
      </c>
      <c r="C33" s="135">
        <v>0</v>
      </c>
      <c r="D33" s="1">
        <f>SUMIFS('Expense tracking'!E:E,'Expense tracking'!A:A,"&gt;="&amp;Months!A3,'Expense tracking'!A:A,"&lt;="&amp;Months!A4,'Expense tracking'!B:B, "fertilizers")</f>
        <v>0</v>
      </c>
      <c r="E33" s="135">
        <v>0</v>
      </c>
      <c r="F33" s="1">
        <f>SUMIFS('Expense tracking'!E:E,'Expense tracking'!A:A,"&gt;="&amp;Months!A5,'Expense tracking'!A:A,"&lt;="&amp;Months!A6,'Expense tracking'!B:B, "fertilizers")</f>
        <v>0</v>
      </c>
      <c r="G33" s="135">
        <v>0</v>
      </c>
      <c r="H33" s="1">
        <f>SUMIFS('Expense tracking'!E:E,'Expense tracking'!A:A,"&gt;="&amp;Months!A7,'Expense tracking'!A:A,"&lt;="&amp;Months!A8,'Expense tracking'!B:B, "fertilizers")</f>
        <v>0</v>
      </c>
      <c r="I33" s="135">
        <v>0</v>
      </c>
      <c r="J33" s="1">
        <f>SUMIFS('Expense tracking'!E:E,'Expense tracking'!A:A,"&gt;="&amp;Months!A9,'Expense tracking'!A:A,"&lt;="&amp;Months!A10,'Expense tracking'!B:B, "fertilizers")</f>
        <v>0</v>
      </c>
      <c r="K33" s="135">
        <v>0</v>
      </c>
      <c r="L33" s="1">
        <f>SUMIFS('Expense tracking'!E:E,'Expense tracking'!A:A,"&gt;="&amp;Months!A11,'Expense tracking'!A:A,"&lt;="&amp;Months!A12,'Expense tracking'!B:B, "fertilizers")</f>
        <v>0</v>
      </c>
      <c r="M33" s="135">
        <v>0</v>
      </c>
      <c r="N33" s="1">
        <f>SUMIFS('Expense tracking'!E:E,'Expense tracking'!A:A,"&gt;="&amp;Months!A13,'Expense tracking'!A:A,"&lt;="&amp;Months!A14,'Expense tracking'!B:B, "fertilizers")</f>
        <v>0</v>
      </c>
      <c r="O33" s="135">
        <v>0</v>
      </c>
      <c r="P33" s="1">
        <f>SUMIFS('Expense tracking'!E:E,'Expense tracking'!A:A,"&gt;="&amp;Months!A15,'Expense tracking'!A:A,"&lt;="&amp;Months!A16,'Expense tracking'!B:B, "fertilizers")</f>
        <v>0</v>
      </c>
      <c r="Q33" s="135">
        <v>0</v>
      </c>
      <c r="R33" s="1">
        <f>SUMIFS('Expense tracking'!E:E,'Expense tracking'!A:A,"&gt;="&amp;Months!A17,'Expense tracking'!A:A,"&lt;="&amp;Months!A18,'Expense tracking'!B:B, "fertilizers")</f>
        <v>0</v>
      </c>
      <c r="S33" s="135">
        <v>0</v>
      </c>
      <c r="T33" s="1">
        <f>SUMIFS('Expense tracking'!E:E,'Expense tracking'!A:A,"&gt;="&amp;Months!A19,'Expense tracking'!A:A,"&lt;="&amp;Months!A20,'Expense tracking'!B:B, "fertilizers")</f>
        <v>0</v>
      </c>
      <c r="U33" s="135">
        <v>0</v>
      </c>
      <c r="V33" s="1">
        <f>SUMIFS('Expense tracking'!E:E,'Expense tracking'!A:A,"&gt;="&amp;Months!A21,'Expense tracking'!A:A,"&lt;="&amp;Months!A22,'Expense tracking'!B:B, "fertilizers")</f>
        <v>0</v>
      </c>
      <c r="W33" s="135">
        <v>0</v>
      </c>
      <c r="X33" s="1">
        <f>SUMIFS('Expense tracking'!E:E,'Expense tracking'!A:A,"&gt;="&amp;Months!A23,'Expense tracking'!A:A,"&lt;="&amp;Months!A24,'Expense tracking'!B:B, "fertilizers")</f>
        <v>0</v>
      </c>
      <c r="Y33" s="135">
        <v>0</v>
      </c>
      <c r="Z33" s="1">
        <f>SUMIFS('Expense tracking'!E:E,'Expense tracking'!A:A,"&gt;="&amp;Months!A25,'Expense tracking'!A:A,"&lt;="&amp;Months!A26,'Expense tracking'!B:B, "fertilizers")</f>
        <v>0</v>
      </c>
      <c r="AA33" s="135">
        <v>0</v>
      </c>
      <c r="AB33" s="46">
        <f t="shared" si="5"/>
        <v>0</v>
      </c>
    </row>
    <row r="34" spans="1:28" s="4" customFormat="1">
      <c r="A34" s="83" t="s">
        <v>86</v>
      </c>
      <c r="B34" s="187">
        <f>Gasoline!D8</f>
        <v>0</v>
      </c>
      <c r="C34" s="135">
        <v>0</v>
      </c>
      <c r="D34" s="1">
        <f>SUMIFS('Expense tracking'!E:E,'Expense tracking'!A:A,"&gt;="&amp;Months!A3,'Expense tracking'!A:A,"&lt;="&amp;Months!A4,'Expense tracking'!B:B, "gasoline")</f>
        <v>0</v>
      </c>
      <c r="E34" s="135">
        <v>0</v>
      </c>
      <c r="F34" s="1">
        <f>SUMIFS('Expense tracking'!E:E,'Expense tracking'!A:A,"&gt;="&amp;Months!A5,'Expense tracking'!A:A,"&lt;="&amp;Months!A6,'Expense tracking'!B:B, "gasoline")</f>
        <v>0</v>
      </c>
      <c r="G34" s="135">
        <v>0</v>
      </c>
      <c r="H34" s="1">
        <f>SUMIFS('Expense tracking'!E:E,'Expense tracking'!A:A,"&gt;="&amp;Months!A7,'Expense tracking'!A:A,"&lt;="&amp;Months!A8,'Expense tracking'!B:B, "gasoline")</f>
        <v>0</v>
      </c>
      <c r="I34" s="135">
        <v>0</v>
      </c>
      <c r="J34" s="1">
        <f>SUMIFS('Expense tracking'!E:E,'Expense tracking'!A:A,"&gt;="&amp;Months!A9,'Expense tracking'!A:A,"&lt;="&amp;Months!A10,'Expense tracking'!B:B, "gasoline")</f>
        <v>0</v>
      </c>
      <c r="K34" s="135">
        <v>0</v>
      </c>
      <c r="L34" s="1">
        <f>SUMIFS('Expense tracking'!E:E,'Expense tracking'!A:A,"&gt;="&amp;Months!A11,'Expense tracking'!A:A,"&lt;="&amp;Months!A12,'Expense tracking'!B:B, "gasoline")</f>
        <v>0</v>
      </c>
      <c r="M34" s="135">
        <v>0</v>
      </c>
      <c r="N34" s="1">
        <f>SUMIFS('Expense tracking'!E:E,'Expense tracking'!A:A,"&gt;="&amp;Months!A13,'Expense tracking'!A:A,"&lt;="&amp;Months!A14,'Expense tracking'!B:B, "gasoline")</f>
        <v>0</v>
      </c>
      <c r="O34" s="135">
        <v>0</v>
      </c>
      <c r="P34" s="1">
        <f>SUMIFS('Expense tracking'!E:E,'Expense tracking'!A:A,"&gt;="&amp;Months!A15,'Expense tracking'!A:A,"&lt;="&amp;Months!A16,'Expense tracking'!B:B, "gasoline")</f>
        <v>0</v>
      </c>
      <c r="Q34" s="135">
        <v>0</v>
      </c>
      <c r="R34" s="1">
        <f>SUMIFS('Expense tracking'!E:E,'Expense tracking'!A:A,"&gt;="&amp;Months!A17,'Expense tracking'!A:A,"&lt;="&amp;Months!A18,'Expense tracking'!B:B, "gasoline")</f>
        <v>0</v>
      </c>
      <c r="S34" s="135">
        <v>0</v>
      </c>
      <c r="T34" s="1">
        <f>SUMIFS('Expense tracking'!E:E,'Expense tracking'!A:A,"&gt;="&amp;Months!A19,'Expense tracking'!A:A,"&lt;="&amp;Months!A20,'Expense tracking'!B:B, "gasoline")</f>
        <v>0</v>
      </c>
      <c r="U34" s="135">
        <v>0</v>
      </c>
      <c r="V34" s="1">
        <f>SUMIFS('Expense tracking'!E:E,'Expense tracking'!A:A,"&gt;="&amp;Months!A21,'Expense tracking'!A:A,"&lt;="&amp;Months!A22,'Expense tracking'!B:B, "gasoline")</f>
        <v>0</v>
      </c>
      <c r="W34" s="135">
        <v>0</v>
      </c>
      <c r="X34" s="1">
        <f>SUMIFS('Expense tracking'!E:E,'Expense tracking'!A:A,"&gt;="&amp;Months!A23,'Expense tracking'!A:A,"&lt;="&amp;Months!A24,'Expense tracking'!B:B, "gasoline")</f>
        <v>0</v>
      </c>
      <c r="Y34" s="135">
        <v>0</v>
      </c>
      <c r="Z34" s="1">
        <f>SUMIFS('Expense tracking'!E:E,'Expense tracking'!A:A,"&gt;="&amp;Months!A25,'Expense tracking'!A:A,"&lt;="&amp;Months!A26,'Expense tracking'!B:B, "gasoline")</f>
        <v>0</v>
      </c>
      <c r="AA34" s="135">
        <v>0</v>
      </c>
      <c r="AB34" s="46">
        <f t="shared" si="5"/>
        <v>0</v>
      </c>
    </row>
    <row r="35" spans="1:28" s="4" customFormat="1">
      <c r="A35" s="83" t="s">
        <v>21</v>
      </c>
      <c r="B35" s="187">
        <f>Insurance!D6</f>
        <v>0</v>
      </c>
      <c r="C35" s="135">
        <v>0</v>
      </c>
      <c r="D35" s="1">
        <f>SUMIFS('Expense tracking'!E:E,'Expense tracking'!A:A,"&gt;="&amp;Months!A3,'Expense tracking'!A:A,"&lt;="&amp;Months!A4,'Expense tracking'!B:B, "insurance")</f>
        <v>0</v>
      </c>
      <c r="E35" s="135">
        <v>0</v>
      </c>
      <c r="F35" s="1">
        <f>SUMIFS('Expense tracking'!E:E,'Expense tracking'!A:A,"&gt;="&amp;Months!A5,'Expense tracking'!A:A,"&lt;="&amp;Months!A6,'Expense tracking'!B:B, "insurance")</f>
        <v>0</v>
      </c>
      <c r="G35" s="135">
        <v>0</v>
      </c>
      <c r="H35" s="1">
        <f>SUMIFS('Expense tracking'!E:E,'Expense tracking'!A:A,"&gt;="&amp;Months!A7,'Expense tracking'!A:A,"&lt;="&amp;Months!A8,'Expense tracking'!B:B, "insurance")</f>
        <v>0</v>
      </c>
      <c r="I35" s="135">
        <v>0</v>
      </c>
      <c r="J35" s="1">
        <f>SUMIFS('Expense tracking'!E:E,'Expense tracking'!A:A,"&gt;="&amp;Months!A9,'Expense tracking'!A:A,"&lt;="&amp;Months!A10,'Expense tracking'!B:B, "insurance")</f>
        <v>0</v>
      </c>
      <c r="K35" s="135">
        <v>0</v>
      </c>
      <c r="L35" s="1">
        <f>SUMIFS('Expense tracking'!E:E,'Expense tracking'!A:A,"&gt;="&amp;Months!A11,'Expense tracking'!A:A,"&lt;="&amp;Months!A12,'Expense tracking'!B:B, "insurance")</f>
        <v>0</v>
      </c>
      <c r="M35" s="135">
        <v>0</v>
      </c>
      <c r="N35" s="1">
        <f>SUMIFS('Expense tracking'!E:E,'Expense tracking'!A:A,"&gt;="&amp;Months!A13,'Expense tracking'!A:A,"&lt;="&amp;Months!A14,'Expense tracking'!B:B, "insurance")</f>
        <v>0</v>
      </c>
      <c r="O35" s="135">
        <v>0</v>
      </c>
      <c r="P35" s="1">
        <f>SUMIFS('Expense tracking'!E:E,'Expense tracking'!A:A,"&gt;="&amp;Months!A15,'Expense tracking'!A:A,"&lt;="&amp;Months!A16,'Expense tracking'!B:B, "insurance")</f>
        <v>0</v>
      </c>
      <c r="Q35" s="135">
        <v>0</v>
      </c>
      <c r="R35" s="1">
        <f>SUMIFS('Expense tracking'!E:E,'Expense tracking'!A:A,"&gt;="&amp;Months!A17,'Expense tracking'!A:A,"&lt;="&amp;Months!A18,'Expense tracking'!B:B, "insurance")</f>
        <v>0</v>
      </c>
      <c r="S35" s="135">
        <v>0</v>
      </c>
      <c r="T35" s="1">
        <f>SUMIFS('Expense tracking'!E:E,'Expense tracking'!A:A,"&gt;="&amp;Months!A19,'Expense tracking'!A:A,"&lt;="&amp;Months!A20,'Expense tracking'!B:B, "insurance")</f>
        <v>0</v>
      </c>
      <c r="U35" s="135">
        <v>0</v>
      </c>
      <c r="V35" s="1">
        <f>SUMIFS('Expense tracking'!E:E,'Expense tracking'!A:A,"&gt;="&amp;Months!A21,'Expense tracking'!A:A,"&lt;="&amp;Months!A22,'Expense tracking'!B:B, "insurance")</f>
        <v>0</v>
      </c>
      <c r="W35" s="135">
        <v>0</v>
      </c>
      <c r="X35" s="1">
        <f>SUMIFS('Expense tracking'!E:E,'Expense tracking'!A:A,"&gt;="&amp;Months!A23,'Expense tracking'!A:A,"&lt;="&amp;Months!A24,'Expense tracking'!B:B, "insurance")</f>
        <v>0</v>
      </c>
      <c r="Y35" s="135">
        <v>0</v>
      </c>
      <c r="Z35" s="1">
        <f>SUMIFS('Expense tracking'!E:E,'Expense tracking'!A:A,"&gt;="&amp;Months!A25,'Expense tracking'!A:A,"&lt;="&amp;Months!A26,'Expense tracking'!B:B, "insurance")</f>
        <v>0</v>
      </c>
      <c r="AA35" s="135">
        <v>0</v>
      </c>
      <c r="AB35" s="46">
        <f>SUM(Z35+X35+V35+T35+R35+P35+N35+L35+J35+H35+F35+D35)</f>
        <v>0</v>
      </c>
    </row>
    <row r="36" spans="1:28" s="4" customFormat="1">
      <c r="A36" s="83" t="s">
        <v>58</v>
      </c>
      <c r="B36" s="187">
        <f>Labor!D6</f>
        <v>0</v>
      </c>
      <c r="C36" s="135">
        <v>0</v>
      </c>
      <c r="D36" s="1">
        <f>SUMIFS('Expense tracking'!E:E,'Expense tracking'!A:A,"&gt;="&amp;Months!A3,'Expense tracking'!A:A,"&lt;="&amp;Months!A4,'Expense tracking'!B:B, "labor")</f>
        <v>0</v>
      </c>
      <c r="E36" s="135">
        <v>0</v>
      </c>
      <c r="F36" s="1">
        <f>SUMIFS('Expense tracking'!E:E,'Expense tracking'!A:A,"&gt;="&amp;Months!A5,'Expense tracking'!A:A,"&lt;="&amp;Months!A6,'Expense tracking'!B:B, "labor")</f>
        <v>0</v>
      </c>
      <c r="G36" s="135">
        <v>0</v>
      </c>
      <c r="H36" s="1">
        <f>SUMIFS('Expense tracking'!E:E,'Expense tracking'!A:A,"&gt;="&amp;Months!A7,'Expense tracking'!A:A,"&lt;="&amp;Months!A8,'Expense tracking'!B:B, "labor")</f>
        <v>0</v>
      </c>
      <c r="I36" s="135">
        <v>0</v>
      </c>
      <c r="J36" s="1">
        <f>SUMIFS('Expense tracking'!E:E,'Expense tracking'!A:A,"&gt;="&amp;Months!A9,'Expense tracking'!A:A,"&lt;="&amp;Months!A10,'Expense tracking'!B:B, "labor")</f>
        <v>0</v>
      </c>
      <c r="K36" s="135">
        <v>0</v>
      </c>
      <c r="L36" s="1">
        <f>SUMIFS('Expense tracking'!E:E,'Expense tracking'!A:A,"&gt;="&amp;Months!A11,'Expense tracking'!A:A,"&lt;="&amp;Months!A12,'Expense tracking'!B:B, "labor")</f>
        <v>0</v>
      </c>
      <c r="M36" s="135">
        <v>0</v>
      </c>
      <c r="N36" s="1">
        <f>SUMIFS('Expense tracking'!E:E,'Expense tracking'!A:A,"&gt;="&amp;Months!A13,'Expense tracking'!A:A,"&lt;="&amp;Months!A14,'Expense tracking'!B:B, "labor")</f>
        <v>0</v>
      </c>
      <c r="O36" s="135">
        <v>0</v>
      </c>
      <c r="P36" s="1">
        <f>SUMIFS('Expense tracking'!E:E,'Expense tracking'!A:A,"&gt;="&amp;Months!A15,'Expense tracking'!A:A,"&lt;="&amp;Months!A16,'Expense tracking'!B:B, "labor")</f>
        <v>0</v>
      </c>
      <c r="Q36" s="135">
        <v>0</v>
      </c>
      <c r="R36" s="1">
        <f>SUMIFS('Expense tracking'!E:E,'Expense tracking'!A:A,"&gt;="&amp;Months!A17,'Expense tracking'!A:A,"&lt;="&amp;Months!A18,'Expense tracking'!B:B, "labor")</f>
        <v>0</v>
      </c>
      <c r="S36" s="135">
        <v>0</v>
      </c>
      <c r="T36" s="1">
        <f>SUMIFS('Expense tracking'!E:E,'Expense tracking'!A:A,"&gt;="&amp;Months!A19,'Expense tracking'!A:A,"&lt;="&amp;Months!A20,'Expense tracking'!B:B, "labor")</f>
        <v>0</v>
      </c>
      <c r="U36" s="135">
        <v>0</v>
      </c>
      <c r="V36" s="1">
        <f>SUMIFS('Expense tracking'!E:E,'Expense tracking'!A:A,"&gt;="&amp;Months!A21,'Expense tracking'!A:A,"&lt;="&amp;Months!A22,'Expense tracking'!B:B, "labor")</f>
        <v>0</v>
      </c>
      <c r="W36" s="135">
        <v>0</v>
      </c>
      <c r="X36" s="1">
        <f>SUMIFS('Expense tracking'!E:E,'Expense tracking'!A:A,"&gt;="&amp;Months!A23,'Expense tracking'!A:A,"&lt;="&amp;Months!A24,'Expense tracking'!B:B, "labor")</f>
        <v>0</v>
      </c>
      <c r="Y36" s="135">
        <v>0</v>
      </c>
      <c r="Z36" s="1">
        <f>SUMIFS('Expense tracking'!E:E,'Expense tracking'!A:A,"&gt;="&amp;Months!A25,'Expense tracking'!A:A,"&lt;="&amp;Months!A26,'Expense tracking'!B:B, "labor")</f>
        <v>0</v>
      </c>
      <c r="AA36" s="135">
        <v>0</v>
      </c>
      <c r="AB36" s="46">
        <f t="shared" si="5"/>
        <v>0</v>
      </c>
    </row>
    <row r="37" spans="1:28" s="4" customFormat="1">
      <c r="A37" s="83" t="s">
        <v>59</v>
      </c>
      <c r="B37" s="187">
        <f>'Rent or lease'!D7</f>
        <v>0</v>
      </c>
      <c r="C37" s="135">
        <v>0</v>
      </c>
      <c r="D37" s="1">
        <f>SUMIFS('Expense tracking'!E:E,'Expense tracking'!A:A,"&gt;="&amp;Months!A3,'Expense tracking'!A:A,"&lt;="&amp;Months!A4,'Expense tracking'!B:B, "rent")</f>
        <v>0</v>
      </c>
      <c r="E37" s="135">
        <v>0</v>
      </c>
      <c r="F37" s="1">
        <f>SUMIFS('Expense tracking'!E:E,'Expense tracking'!A:A,"&gt;="&amp;Months!A5,'Expense tracking'!A:A,"&lt;="&amp;Months!A6,'Expense tracking'!B:B, "rent")</f>
        <v>0</v>
      </c>
      <c r="G37" s="135">
        <v>0</v>
      </c>
      <c r="H37" s="1">
        <f>SUMIFS('Expense tracking'!E:E,'Expense tracking'!A:A,"&gt;="&amp;Months!A7,'Expense tracking'!A:A,"&lt;="&amp;Months!A8,'Expense tracking'!B:B, "rent")</f>
        <v>0</v>
      </c>
      <c r="I37" s="135">
        <v>0</v>
      </c>
      <c r="J37" s="1">
        <f>SUMIFS('Expense tracking'!E:E,'Expense tracking'!A:A,"&gt;="&amp;Months!A9,'Expense tracking'!A:A,"&lt;="&amp;Months!A10,'Expense tracking'!B:B, "rent")</f>
        <v>0</v>
      </c>
      <c r="K37" s="135">
        <v>0</v>
      </c>
      <c r="L37" s="1">
        <f>SUMIFS('Expense tracking'!E:E,'Expense tracking'!A:A,"&gt;="&amp;Months!A11,'Expense tracking'!A:A,"&lt;="&amp;Months!A12,'Expense tracking'!B:B, "rent")</f>
        <v>0</v>
      </c>
      <c r="M37" s="135">
        <v>0</v>
      </c>
      <c r="N37" s="1">
        <f>SUMIFS('Expense tracking'!E:E,'Expense tracking'!A:A,"&gt;="&amp;Months!A13,'Expense tracking'!A:A,"&lt;="&amp;Months!A14,'Expense tracking'!B:B, "rent")</f>
        <v>0</v>
      </c>
      <c r="O37" s="135">
        <v>0</v>
      </c>
      <c r="P37" s="1">
        <f>SUMIFS('Expense tracking'!E:E,'Expense tracking'!A:A,"&gt;="&amp;Months!A15,'Expense tracking'!A:A,"&lt;="&amp;Months!A16,'Expense tracking'!B:B, "rent")</f>
        <v>0</v>
      </c>
      <c r="Q37" s="135">
        <v>0</v>
      </c>
      <c r="R37" s="1">
        <f>SUMIFS('Expense tracking'!E:E,'Expense tracking'!A:A,"&gt;="&amp;Months!A17,'Expense tracking'!A:A,"&lt;="&amp;Months!A18,'Expense tracking'!B:B, "rent")</f>
        <v>0</v>
      </c>
      <c r="S37" s="135">
        <v>0</v>
      </c>
      <c r="T37" s="1">
        <f>SUMIFS('Expense tracking'!E:E,'Expense tracking'!A:A,"&gt;="&amp;Months!A19,'Expense tracking'!A:A,"&lt;="&amp;Months!A20,'Expense tracking'!B:B, "rent")</f>
        <v>0</v>
      </c>
      <c r="U37" s="135">
        <v>0</v>
      </c>
      <c r="V37" s="1">
        <f>SUMIFS('Expense tracking'!E:E,'Expense tracking'!A:A,"&gt;="&amp;Months!A21,'Expense tracking'!A:A,"&lt;="&amp;Months!A22,'Expense tracking'!B:B, "rent")</f>
        <v>0</v>
      </c>
      <c r="W37" s="135">
        <v>0</v>
      </c>
      <c r="X37" s="1">
        <f>SUMIFS('Expense tracking'!E:E,'Expense tracking'!A:A,"&gt;="&amp;Months!A23,'Expense tracking'!A:A,"&lt;="&amp;Months!A24,'Expense tracking'!B:B, "rent")</f>
        <v>0</v>
      </c>
      <c r="Y37" s="135">
        <v>0</v>
      </c>
      <c r="Z37" s="1">
        <f>SUMIFS('Expense tracking'!E:E,'Expense tracking'!A:A,"&gt;="&amp;Months!A25,'Expense tracking'!A:A,"&lt;="&amp;Months!A26,'Expense tracking'!B:B, "rent")</f>
        <v>0</v>
      </c>
      <c r="AA37" s="135">
        <v>0</v>
      </c>
      <c r="AB37" s="46">
        <f t="shared" si="5"/>
        <v>0</v>
      </c>
    </row>
    <row r="38" spans="1:28" s="4" customFormat="1">
      <c r="A38" s="83" t="s">
        <v>60</v>
      </c>
      <c r="B38" s="187">
        <f>'Repairs and maintenance'!D8</f>
        <v>0</v>
      </c>
      <c r="C38" s="135">
        <v>0</v>
      </c>
      <c r="D38" s="1">
        <f>SUMIFS('Expense tracking'!E:E,'Expense tracking'!A:A,"&gt;="&amp;Months!A3,'Expense tracking'!A:A,"&lt;="&amp;Months!A4,'Expense tracking'!B:B, "repairs")</f>
        <v>0</v>
      </c>
      <c r="E38" s="135">
        <v>0</v>
      </c>
      <c r="F38" s="1">
        <f>SUMIFS('Expense tracking'!E:E,'Expense tracking'!A:A,"&gt;="&amp;Months!A5,'Expense tracking'!A:A,"&lt;="&amp;Months!A6,'Expense tracking'!B:B, "repairs")</f>
        <v>0</v>
      </c>
      <c r="G38" s="135">
        <v>0</v>
      </c>
      <c r="H38" s="1">
        <f>SUMIFS('Expense tracking'!E:E,'Expense tracking'!A:A,"&gt;="&amp;Months!A7,'Expense tracking'!A:A,"&lt;="&amp;Months!A8,'Expense tracking'!B:B, "repairs")</f>
        <v>0</v>
      </c>
      <c r="I38" s="135">
        <v>0</v>
      </c>
      <c r="J38" s="1">
        <f>SUMIFS('Expense tracking'!E:E,'Expense tracking'!A:A,"&gt;="&amp;Months!A9,'Expense tracking'!A:A,"&lt;="&amp;Months!A10,'Expense tracking'!B:B, "repairs")</f>
        <v>0</v>
      </c>
      <c r="K38" s="135">
        <v>0</v>
      </c>
      <c r="L38" s="1">
        <f>SUMIFS('Expense tracking'!E:E,'Expense tracking'!A:A,"&gt;="&amp;Months!A11,'Expense tracking'!A:A,"&lt;="&amp;Months!A12,'Expense tracking'!B:B, "repairs")</f>
        <v>0</v>
      </c>
      <c r="M38" s="135">
        <v>0</v>
      </c>
      <c r="N38" s="1">
        <f>SUMIFS('Expense tracking'!E:E,'Expense tracking'!A:A,"&gt;="&amp;Months!A13,'Expense tracking'!A:A,"&lt;="&amp;Months!A14,'Expense tracking'!B:B, "repairs")</f>
        <v>0</v>
      </c>
      <c r="O38" s="135">
        <v>0</v>
      </c>
      <c r="P38" s="1">
        <f>SUMIFS('Expense tracking'!E:E,'Expense tracking'!A:A,"&gt;="&amp;Months!A15,'Expense tracking'!A:A,"&lt;="&amp;Months!A16,'Expense tracking'!B:B, "repairs")</f>
        <v>0</v>
      </c>
      <c r="Q38" s="135">
        <v>0</v>
      </c>
      <c r="R38" s="1">
        <f>SUMIFS('Expense tracking'!E:E,'Expense tracking'!A:A,"&gt;="&amp;Months!A17,'Expense tracking'!A:A,"&lt;="&amp;Months!A18,'Expense tracking'!B:B, "repairs")</f>
        <v>0</v>
      </c>
      <c r="S38" s="135">
        <v>0</v>
      </c>
      <c r="T38" s="1">
        <f>SUMIFS('Expense tracking'!E:E,'Expense tracking'!A:A,"&gt;="&amp;Months!A19,'Expense tracking'!A:A,"&lt;="&amp;Months!A20,'Expense tracking'!B:B, "repairs")</f>
        <v>0</v>
      </c>
      <c r="U38" s="135">
        <v>0</v>
      </c>
      <c r="V38" s="1">
        <f>SUMIFS('Expense tracking'!E:E,'Expense tracking'!A:A,"&gt;="&amp;Months!A21,'Expense tracking'!A:A,"&lt;="&amp;Months!A22,'Expense tracking'!B:B, "repairs")</f>
        <v>0</v>
      </c>
      <c r="W38" s="135">
        <v>0</v>
      </c>
      <c r="X38" s="1">
        <f>SUMIFS('Expense tracking'!E:E,'Expense tracking'!A:A,"&gt;="&amp;Months!A23,'Expense tracking'!A:A,"&lt;="&amp;Months!A24,'Expense tracking'!B:B, "repairs")</f>
        <v>0</v>
      </c>
      <c r="Y38" s="135">
        <v>0</v>
      </c>
      <c r="Z38" s="1">
        <f>SUMIFS('Expense tracking'!E:E,'Expense tracking'!A:A,"&gt;="&amp;Months!A25,'Expense tracking'!A:A,"&lt;="&amp;Months!A26,'Expense tracking'!B:B, "repairs")</f>
        <v>0</v>
      </c>
      <c r="AA38" s="135">
        <v>0</v>
      </c>
      <c r="AB38" s="46">
        <f t="shared" si="5"/>
        <v>0</v>
      </c>
    </row>
    <row r="39" spans="1:28" s="4" customFormat="1">
      <c r="A39" s="83" t="s">
        <v>61</v>
      </c>
      <c r="B39" s="186">
        <f>'Seeds and plants'!D6</f>
        <v>0</v>
      </c>
      <c r="C39" s="135">
        <v>0</v>
      </c>
      <c r="D39" s="1">
        <f>SUMIFS('Expense tracking'!E:E,'Expense tracking'!A:A,"&gt;="&amp;Months!A3,'Expense tracking'!A:A,"&lt;="&amp;Months!A4,'Expense tracking'!B:B, "seeds")</f>
        <v>0</v>
      </c>
      <c r="E39" s="135">
        <v>0</v>
      </c>
      <c r="F39" s="1">
        <f>SUMIFS('Expense tracking'!E:E,'Expense tracking'!A:A,"&gt;="&amp;Months!A5,'Expense tracking'!A:A,"&lt;="&amp;Months!A6,'Expense tracking'!B:B, "seeds")</f>
        <v>0</v>
      </c>
      <c r="G39" s="135">
        <v>0</v>
      </c>
      <c r="H39" s="1">
        <f>SUMIFS('Expense tracking'!E:E,'Expense tracking'!A:A,"&gt;="&amp;Months!A7,'Expense tracking'!A:A,"&lt;="&amp;Months!A8,'Expense tracking'!B:B, "seeds")</f>
        <v>0</v>
      </c>
      <c r="I39" s="135">
        <v>0</v>
      </c>
      <c r="J39" s="1">
        <f>SUMIFS('Expense tracking'!E:E,'Expense tracking'!A:A,"&gt;="&amp;Months!A9,'Expense tracking'!A:A,"&lt;="&amp;Months!A10,'Expense tracking'!B:B, "seeds")</f>
        <v>0</v>
      </c>
      <c r="K39" s="135">
        <v>0</v>
      </c>
      <c r="L39" s="1">
        <f>SUMIFS('Expense tracking'!E:E,'Expense tracking'!A:A,"&gt;="&amp;Months!A11,'Expense tracking'!A:A,"&lt;="&amp;Months!A12,'Expense tracking'!B:B, "seeds")</f>
        <v>0</v>
      </c>
      <c r="M39" s="135">
        <v>0</v>
      </c>
      <c r="N39" s="1">
        <f>SUMIFS('Expense tracking'!E:E,'Expense tracking'!A:A,"&gt;="&amp;Months!A13,'Expense tracking'!A:A,"&lt;="&amp;Months!A14,'Expense tracking'!B:B, "seeds")</f>
        <v>0</v>
      </c>
      <c r="O39" s="135">
        <v>0</v>
      </c>
      <c r="P39" s="1">
        <f>SUMIFS('Expense tracking'!E:E,'Expense tracking'!A:A,"&gt;="&amp;Months!A15,'Expense tracking'!A:A,"&lt;="&amp;Months!A16,'Expense tracking'!B:B, "seeds")</f>
        <v>0</v>
      </c>
      <c r="Q39" s="135">
        <v>0</v>
      </c>
      <c r="R39" s="1">
        <f>SUMIFS('Expense tracking'!E:E,'Expense tracking'!A:A,"&gt;="&amp;Months!A17,'Expense tracking'!A:A,"&lt;="&amp;Months!A18,'Expense tracking'!B:B, "seeds")</f>
        <v>0</v>
      </c>
      <c r="S39" s="135">
        <v>0</v>
      </c>
      <c r="T39" s="1">
        <f>SUMIFS('Expense tracking'!E:E,'Expense tracking'!A:A,"&gt;="&amp;Months!A19,'Expense tracking'!A:A,"&lt;="&amp;Months!A20,'Expense tracking'!B:B, "seeds")</f>
        <v>0</v>
      </c>
      <c r="U39" s="135">
        <v>0</v>
      </c>
      <c r="V39" s="1">
        <f>SUMIFS('Expense tracking'!E:E,'Expense tracking'!A:A,"&gt;="&amp;Months!A21,'Expense tracking'!A:A,"&lt;="&amp;Months!A22,'Expense tracking'!B:B, "seeds")</f>
        <v>0</v>
      </c>
      <c r="W39" s="135">
        <v>0</v>
      </c>
      <c r="X39" s="1">
        <f>SUMIFS('Expense tracking'!E:E,'Expense tracking'!A:A,"&gt;="&amp;Months!A23,'Expense tracking'!A:A,"&lt;="&amp;Months!A24,'Expense tracking'!B:B, "seeds")</f>
        <v>0</v>
      </c>
      <c r="Y39" s="135">
        <v>0</v>
      </c>
      <c r="Z39" s="1">
        <f>SUMIFS('Expense tracking'!E:E,'Expense tracking'!A:A,"&gt;="&amp;Months!A25,'Expense tracking'!A:A,"&lt;="&amp;Months!A26,'Expense tracking'!B:B, "seeds")</f>
        <v>0</v>
      </c>
      <c r="AA39" s="135">
        <v>0</v>
      </c>
      <c r="AB39" s="46">
        <f t="shared" si="5"/>
        <v>0</v>
      </c>
    </row>
    <row r="40" spans="1:28" s="4" customFormat="1">
      <c r="A40" s="83" t="s">
        <v>24</v>
      </c>
      <c r="B40" s="186">
        <f>Supplies!D69</f>
        <v>0</v>
      </c>
      <c r="C40" s="135">
        <v>0</v>
      </c>
      <c r="D40" s="1">
        <f>SUMIFS('Expense tracking'!E:E,'Expense tracking'!A:A,"&gt;="&amp;Months!A3,'Expense tracking'!A:A,"&lt;="&amp;Months!A4,'Expense tracking'!B:B, "supplies" )</f>
        <v>0</v>
      </c>
      <c r="E40" s="135">
        <v>0</v>
      </c>
      <c r="F40" s="1">
        <f>SUMIFS('Expense tracking'!E:E,'Expense tracking'!A:A,"&gt;="&amp;Months!A5,'Expense tracking'!A:A,"&lt;="&amp;Months!A6,'Expense tracking'!B:B, "supplies" )</f>
        <v>0</v>
      </c>
      <c r="G40" s="135">
        <v>0</v>
      </c>
      <c r="H40" s="1">
        <f>SUMIFS('Expense tracking'!E:E,'Expense tracking'!A:A,"&gt;="&amp;Months!A7,'Expense tracking'!A:A,"&lt;="&amp;Months!A8,'Expense tracking'!B:B, "supplies" )</f>
        <v>0</v>
      </c>
      <c r="I40" s="135">
        <v>0</v>
      </c>
      <c r="J40" s="1">
        <f>SUMIFS('Expense tracking'!E:E,'Expense tracking'!A:A,"&gt;="&amp;Months!A9,'Expense tracking'!A:A,"&lt;="&amp;Months!A10,'Expense tracking'!B:B, "supplies" )</f>
        <v>0</v>
      </c>
      <c r="K40" s="135">
        <v>0</v>
      </c>
      <c r="L40" s="1">
        <f>SUMIFS('Expense tracking'!E:E,'Expense tracking'!A:A,"&gt;="&amp;Months!A11,'Expense tracking'!A:A,"&lt;="&amp;Months!A12,'Expense tracking'!B:B, "supplies" )</f>
        <v>0</v>
      </c>
      <c r="M40" s="135">
        <v>0</v>
      </c>
      <c r="N40" s="1">
        <f>SUMIFS('Expense tracking'!E:E,'Expense tracking'!A:A,"&gt;="&amp;Months!A13,'Expense tracking'!A:A,"&lt;="&amp;Months!A14,'Expense tracking'!B:B, "supplies" )</f>
        <v>0</v>
      </c>
      <c r="O40" s="135">
        <v>0</v>
      </c>
      <c r="P40" s="1">
        <f>SUMIFS('Expense tracking'!E:E,'Expense tracking'!A:A,"&gt;="&amp;Months!A15,'Expense tracking'!A:A,"&lt;="&amp;Months!A16,'Expense tracking'!B:B, "supplies" )</f>
        <v>0</v>
      </c>
      <c r="Q40" s="135">
        <v>0</v>
      </c>
      <c r="R40" s="1">
        <f>SUMIFS('Expense tracking'!E:E,'Expense tracking'!A:A,"&gt;="&amp;Months!A17,'Expense tracking'!A:A,"&lt;="&amp;Months!A18,'Expense tracking'!B:B, "supplies" )</f>
        <v>0</v>
      </c>
      <c r="S40" s="135">
        <v>0</v>
      </c>
      <c r="T40" s="1">
        <f>SUMIFS('Expense tracking'!E:E,'Expense tracking'!A:A,"&gt;="&amp;Months!A19,'Expense tracking'!A:A,"&lt;="&amp;Months!A20,'Expense tracking'!B:B, "supplies" )</f>
        <v>0</v>
      </c>
      <c r="U40" s="135">
        <v>0</v>
      </c>
      <c r="V40" s="1">
        <f>SUMIFS('Expense tracking'!E:E,'Expense tracking'!A:A,"&gt;="&amp;Months!A21,'Expense tracking'!A:A,"&lt;="&amp;Months!A22,'Expense tracking'!B:B, "supplies" )</f>
        <v>0</v>
      </c>
      <c r="W40" s="135">
        <v>0</v>
      </c>
      <c r="X40" s="1">
        <f>SUMIFS('Expense tracking'!E:E,'Expense tracking'!A:A,"&gt;="&amp;Months!A23,'Expense tracking'!A:A,"&lt;="&amp;Months!A24,'Expense tracking'!B:B, "supplies" )</f>
        <v>0</v>
      </c>
      <c r="Y40" s="135">
        <v>0</v>
      </c>
      <c r="Z40" s="1">
        <f>SUMIFS('Expense tracking'!E:E,'Expense tracking'!A:A,"&gt;="&amp;Months!A25,'Expense tracking'!A:A,"&lt;="&amp;Months!A26,'Expense tracking'!B:B, "supplies" )</f>
        <v>0</v>
      </c>
      <c r="AA40" s="135">
        <v>0</v>
      </c>
      <c r="AB40" s="46">
        <f t="shared" si="5"/>
        <v>0</v>
      </c>
    </row>
    <row r="41" spans="1:28" s="4" customFormat="1">
      <c r="A41" s="83" t="s">
        <v>22</v>
      </c>
      <c r="B41" s="186">
        <f>Utilities!D9</f>
        <v>0</v>
      </c>
      <c r="C41" s="135">
        <v>0</v>
      </c>
      <c r="D41" s="1">
        <f>SUMIFS('Expense tracking'!E:E,'Expense tracking'!A:A,"&gt;="&amp;Months!A3,'Expense tracking'!A:A,"&lt;="&amp;Months!A4,'Expense tracking'!B:B, "utilities" )</f>
        <v>0</v>
      </c>
      <c r="E41" s="135">
        <v>0</v>
      </c>
      <c r="F41" s="1">
        <f>SUMIFS('Expense tracking'!E:E,'Expense tracking'!A:A,"&gt;="&amp;Months!A5,'Expense tracking'!A:A,"&lt;="&amp;Months!A6,'Expense tracking'!B:B, "utilities" )</f>
        <v>0</v>
      </c>
      <c r="G41" s="135">
        <v>0</v>
      </c>
      <c r="H41" s="1">
        <f>SUMIFS('Expense tracking'!E:E,'Expense tracking'!A:A,"&gt;="&amp;Months!A7,'Expense tracking'!A:A,"&lt;="&amp;Months!A8,'Expense tracking'!B:B, "utilities" )</f>
        <v>0</v>
      </c>
      <c r="I41" s="135">
        <v>0</v>
      </c>
      <c r="J41" s="1">
        <f>SUMIFS('Expense tracking'!E:E,'Expense tracking'!A:A,"&gt;="&amp;Months!A9,'Expense tracking'!A:A,"&lt;="&amp;Months!A10,'Expense tracking'!B:B, "utilities" )</f>
        <v>0</v>
      </c>
      <c r="K41" s="135">
        <v>0</v>
      </c>
      <c r="L41" s="1">
        <f>SUMIFS('Expense tracking'!E:E,'Expense tracking'!A:A,"&gt;="&amp;Months!A11,'Expense tracking'!A:A,"&lt;="&amp;Months!A12,'Expense tracking'!B:B, "utilities" )</f>
        <v>0</v>
      </c>
      <c r="M41" s="135">
        <v>0</v>
      </c>
      <c r="N41" s="1">
        <f>SUMIFS('Expense tracking'!E:E,'Expense tracking'!A:A,"&gt;="&amp;Months!A13,'Expense tracking'!A:A,"&lt;="&amp;Months!A14,'Expense tracking'!B:B, "utilities" )</f>
        <v>0</v>
      </c>
      <c r="O41" s="135">
        <v>0</v>
      </c>
      <c r="P41" s="1">
        <f>SUMIFS('Expense tracking'!E:E,'Expense tracking'!A:A,"&gt;="&amp;Months!A15,'Expense tracking'!A:A,"&lt;="&amp;Months!A16,'Expense tracking'!B:B, "utilities" )</f>
        <v>0</v>
      </c>
      <c r="Q41" s="135">
        <v>0</v>
      </c>
      <c r="R41" s="1">
        <f>SUMIFS('Expense tracking'!E:E,'Expense tracking'!A:A,"&gt;="&amp;Months!A17,'Expense tracking'!A:A,"&lt;="&amp;Months!A18,'Expense tracking'!B:B, "utilities" )</f>
        <v>0</v>
      </c>
      <c r="S41" s="135">
        <v>0</v>
      </c>
      <c r="T41" s="1">
        <f>SUMIFS('Expense tracking'!E:E,'Expense tracking'!A:A,"&gt;="&amp;Months!A19,'Expense tracking'!A:A,"&lt;="&amp;Months!A20,'Expense tracking'!B:B, "utilities" )</f>
        <v>0</v>
      </c>
      <c r="U41" s="135">
        <v>0</v>
      </c>
      <c r="V41" s="1">
        <f>SUMIFS('Expense tracking'!E:E,'Expense tracking'!A:A,"&gt;="&amp;Months!A21,'Expense tracking'!A:A,"&lt;="&amp;Months!A22,'Expense tracking'!B:B, "utilities" )</f>
        <v>0</v>
      </c>
      <c r="W41" s="135">
        <v>0</v>
      </c>
      <c r="X41" s="1">
        <f>SUMIFS('Expense tracking'!E:E,'Expense tracking'!A:A,"&gt;="&amp;Months!A23,'Expense tracking'!A:A,"&lt;="&amp;Months!A24,'Expense tracking'!B:B, "utilities" )</f>
        <v>0</v>
      </c>
      <c r="Y41" s="135">
        <v>0</v>
      </c>
      <c r="Z41" s="1">
        <f>SUMIFS('Expense tracking'!E:E,'Expense tracking'!A:A,"&gt;="&amp;Months!A25,'Expense tracking'!A:A,"&lt;="&amp;Months!A26,'Expense tracking'!B:B, "utilities" )</f>
        <v>0</v>
      </c>
      <c r="AA41" s="135">
        <v>0</v>
      </c>
      <c r="AB41" s="46">
        <f t="shared" si="5"/>
        <v>0</v>
      </c>
    </row>
    <row r="42" spans="1:28" s="4" customFormat="1">
      <c r="A42" s="83" t="s">
        <v>64</v>
      </c>
      <c r="B42" s="186">
        <f>'Other expenses'!D9</f>
        <v>0</v>
      </c>
      <c r="C42" s="135">
        <v>0</v>
      </c>
      <c r="D42" s="1">
        <f>SUMIFS('Expense tracking'!E:E,'Expense tracking'!A:A,"&gt;="&amp;Months!A3,'Expense tracking'!A:A,"&lt;="&amp;Months!A4,'Expense tracking'!B:B, "Other" )</f>
        <v>0</v>
      </c>
      <c r="E42" s="135">
        <v>0</v>
      </c>
      <c r="F42" s="1">
        <f>SUMIFS('Expense tracking'!E:E,'Expense tracking'!A:A,"&gt;="&amp;Months!A5,'Expense tracking'!A:A,"&lt;="&amp;Months!A6,'Expense tracking'!B:B, "Other" )</f>
        <v>0</v>
      </c>
      <c r="G42" s="135">
        <v>0</v>
      </c>
      <c r="H42" s="1">
        <f>SUMIFS('Expense tracking'!E:E,'Expense tracking'!A:A,"&gt;="&amp;Months!A7,'Expense tracking'!A:A,"&lt;="&amp;Months!A8,'Expense tracking'!B:B, "Other" )</f>
        <v>0</v>
      </c>
      <c r="I42" s="135">
        <v>0</v>
      </c>
      <c r="J42" s="1">
        <f>SUMIFS('Expense tracking'!E:E,'Expense tracking'!A:A,"&gt;="&amp;Months!A9,'Expense tracking'!A:A,"&lt;="&amp;Months!A10,'Expense tracking'!B:B, "Other" )</f>
        <v>0</v>
      </c>
      <c r="K42" s="135">
        <v>0</v>
      </c>
      <c r="L42" s="1">
        <f>SUMIFS('Expense tracking'!E:E,'Expense tracking'!A:A,"&gt;="&amp;Months!A11,'Expense tracking'!A:A,"&lt;="&amp;Months!A12,'Expense tracking'!B:B, "Other" )</f>
        <v>0</v>
      </c>
      <c r="M42" s="135">
        <v>0</v>
      </c>
      <c r="N42" s="1">
        <f>SUMIFS('Expense tracking'!E:E,'Expense tracking'!A:A,"&gt;="&amp;Months!A13,'Expense tracking'!A:A,"&lt;="&amp;Months!A14,'Expense tracking'!B:B, "Other" )</f>
        <v>0</v>
      </c>
      <c r="O42" s="135">
        <v>0</v>
      </c>
      <c r="P42" s="1">
        <f>SUMIFS('Expense tracking'!E:E,'Expense tracking'!A:A,"&gt;="&amp;Months!A15,'Expense tracking'!A:A,"&lt;="&amp;Months!A16,'Expense tracking'!B:B, "Other" )</f>
        <v>0</v>
      </c>
      <c r="Q42" s="135">
        <v>0</v>
      </c>
      <c r="R42" s="1">
        <f>SUMIFS('Expense tracking'!E:E,'Expense tracking'!A:A,"&gt;="&amp;Months!A17,'Expense tracking'!A:A,"&lt;="&amp;Months!A18,'Expense tracking'!B:B, "Other" )</f>
        <v>0</v>
      </c>
      <c r="S42" s="135">
        <v>0</v>
      </c>
      <c r="T42" s="1">
        <f>SUMIFS('Expense tracking'!E:E,'Expense tracking'!A:A,"&gt;="&amp;Months!A19,'Expense tracking'!A:A,"&lt;="&amp;Months!A20,'Expense tracking'!B:B, "Other" )</f>
        <v>0</v>
      </c>
      <c r="U42" s="135">
        <v>0</v>
      </c>
      <c r="V42" s="1">
        <f>SUMIFS('Expense tracking'!E:E,'Expense tracking'!A:A,"&gt;="&amp;Months!A21,'Expense tracking'!A:A,"&lt;="&amp;Months!A22,'Expense tracking'!B:B, "Other" )</f>
        <v>0</v>
      </c>
      <c r="W42" s="135">
        <v>0</v>
      </c>
      <c r="X42" s="1">
        <f>SUMIFS('Expense tracking'!E:E,'Expense tracking'!A:A,"&gt;="&amp;Months!A23,'Expense tracking'!A:A,"&lt;="&amp;Months!A24,'Expense tracking'!B:B, "Other" )</f>
        <v>0</v>
      </c>
      <c r="Y42" s="135">
        <v>0</v>
      </c>
      <c r="Z42" s="1">
        <f>SUMIFS('Expense tracking'!E:E,'Expense tracking'!A:A,"&gt;="&amp;Months!A25,'Expense tracking'!A:A,"&lt;="&amp;Months!A26,'Expense tracking'!B:B, "Other" )</f>
        <v>0</v>
      </c>
      <c r="AA42" s="135">
        <v>0</v>
      </c>
      <c r="AB42" s="46">
        <f t="shared" si="5"/>
        <v>0</v>
      </c>
    </row>
    <row r="43" spans="1:28" s="69" customFormat="1">
      <c r="B43" s="186"/>
      <c r="C43" s="140"/>
      <c r="D43" s="80"/>
      <c r="E43" s="111"/>
      <c r="G43" s="112"/>
      <c r="I43" s="112"/>
      <c r="K43" s="112"/>
      <c r="M43" s="112"/>
      <c r="O43" s="112"/>
      <c r="Q43" s="112"/>
      <c r="S43" s="112"/>
      <c r="U43" s="112"/>
      <c r="W43" s="112"/>
      <c r="Y43" s="112"/>
      <c r="AA43" s="112"/>
    </row>
  </sheetData>
  <mergeCells count="1">
    <mergeCell ref="C2:AB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activeCell="B30" sqref="B30"/>
    </sheetView>
  </sheetViews>
  <sheetFormatPr baseColWidth="10" defaultRowHeight="15" x14ac:dyDescent="0"/>
  <cols>
    <col min="1" max="1" width="25" customWidth="1"/>
    <col min="2" max="2" width="20.83203125" customWidth="1"/>
    <col min="3" max="3" width="21.5" style="1" customWidth="1"/>
    <col min="4" max="4" width="18" customWidth="1"/>
  </cols>
  <sheetData>
    <row r="1" spans="1:4">
      <c r="A1" s="55" t="s">
        <v>151</v>
      </c>
      <c r="B1" s="56" t="s">
        <v>154</v>
      </c>
      <c r="C1" s="233" t="s">
        <v>123</v>
      </c>
    </row>
    <row r="2" spans="1:4">
      <c r="A2" s="49" t="s">
        <v>152</v>
      </c>
      <c r="B2" s="1" t="s">
        <v>279</v>
      </c>
      <c r="C2" s="1">
        <f>SUMIF('Income tracking'!B:B,"CFM",'Income tracking'!C:C)</f>
        <v>0</v>
      </c>
    </row>
    <row r="3" spans="1:4">
      <c r="A3" s="49" t="s">
        <v>153</v>
      </c>
      <c r="B3" s="1" t="s">
        <v>279</v>
      </c>
      <c r="C3" s="1">
        <f>SUMIF('Income tracking'!B:B,"LFM",'Income tracking'!C:C)</f>
        <v>0</v>
      </c>
    </row>
    <row r="4" spans="1:4">
      <c r="A4" s="49" t="s">
        <v>51</v>
      </c>
      <c r="B4" s="1" t="s">
        <v>279</v>
      </c>
      <c r="C4" s="1">
        <f>SUMIF('Income tracking'!B:B,"CSA",'Income tracking'!C:C)</f>
        <v>0</v>
      </c>
      <c r="D4" s="147"/>
    </row>
    <row r="5" spans="1:4">
      <c r="A5" s="49" t="s">
        <v>169</v>
      </c>
      <c r="B5" s="1" t="s">
        <v>279</v>
      </c>
      <c r="C5" s="1">
        <f>SUMIF('Income tracking'!B:B,"Wholesale",'Income tracking'!C:C)</f>
        <v>0</v>
      </c>
    </row>
    <row r="6" spans="1:4">
      <c r="A6" s="58" t="s">
        <v>155</v>
      </c>
      <c r="B6" s="59">
        <f>SUM(B2:B5)</f>
        <v>0</v>
      </c>
      <c r="C6" s="59">
        <f>SUM(C2:C4)</f>
        <v>0</v>
      </c>
      <c r="D6" s="147"/>
    </row>
    <row r="7" spans="1:4">
      <c r="B7" s="57"/>
      <c r="C7" s="231"/>
    </row>
    <row r="8" spans="1:4">
      <c r="A8" s="61"/>
      <c r="B8" s="62"/>
      <c r="C8" s="62"/>
    </row>
    <row r="13" spans="1:4">
      <c r="D13" s="12"/>
    </row>
  </sheetData>
  <phoneticPr fontId="10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"/>
  <sheetViews>
    <sheetView workbookViewId="0">
      <selection activeCell="A2" sqref="A2"/>
    </sheetView>
  </sheetViews>
  <sheetFormatPr baseColWidth="10" defaultRowHeight="15" x14ac:dyDescent="0"/>
  <cols>
    <col min="1" max="1" width="15.1640625" style="87" customWidth="1"/>
    <col min="2" max="2" width="20.1640625" customWidth="1"/>
    <col min="3" max="3" width="20.1640625" style="1" customWidth="1"/>
    <col min="4" max="4" width="34.33203125" bestFit="1" customWidth="1"/>
    <col min="5" max="5" width="31.1640625" customWidth="1"/>
  </cols>
  <sheetData>
    <row r="1" spans="1:9" ht="30">
      <c r="A1" s="86" t="s">
        <v>72</v>
      </c>
      <c r="B1" s="53" t="s">
        <v>157</v>
      </c>
      <c r="C1" s="168" t="s">
        <v>156</v>
      </c>
      <c r="D1" s="52" t="s">
        <v>158</v>
      </c>
      <c r="E1" s="167"/>
    </row>
    <row r="2" spans="1:9">
      <c r="A2" s="160"/>
      <c r="B2" s="164"/>
      <c r="C2" s="79"/>
      <c r="D2" s="4"/>
      <c r="E2" s="4"/>
      <c r="F2" s="4"/>
      <c r="G2" s="4"/>
      <c r="H2" s="4"/>
      <c r="I2" s="4"/>
    </row>
    <row r="3" spans="1:9">
      <c r="A3" s="160"/>
      <c r="B3" s="164"/>
      <c r="C3" s="79"/>
      <c r="D3" s="4"/>
      <c r="E3" s="4"/>
      <c r="F3" s="4"/>
      <c r="G3" s="4"/>
      <c r="H3" s="4"/>
      <c r="I3" s="4"/>
    </row>
    <row r="4" spans="1:9">
      <c r="A4" s="154"/>
      <c r="B4" s="164"/>
      <c r="C4" s="22"/>
      <c r="D4" s="4"/>
      <c r="E4" s="160"/>
      <c r="F4" s="4"/>
      <c r="G4" s="4"/>
      <c r="H4" s="4"/>
      <c r="I4" s="4"/>
    </row>
    <row r="5" spans="1:9">
      <c r="A5" s="154"/>
      <c r="B5" s="164"/>
      <c r="C5" s="22"/>
      <c r="D5" s="237"/>
      <c r="E5" s="160"/>
      <c r="F5" s="4"/>
      <c r="G5" s="4"/>
      <c r="H5" s="4"/>
      <c r="I5" s="4"/>
    </row>
    <row r="6" spans="1:9">
      <c r="A6" s="154"/>
      <c r="B6" s="164"/>
      <c r="C6" s="22"/>
      <c r="D6" s="4"/>
      <c r="E6" s="155"/>
      <c r="F6" s="4"/>
      <c r="G6" s="4"/>
      <c r="H6" s="4"/>
      <c r="I6" s="4"/>
    </row>
    <row r="7" spans="1:9">
      <c r="A7" s="154"/>
      <c r="B7" s="164"/>
      <c r="C7" s="22"/>
      <c r="D7" s="4"/>
      <c r="E7" s="160"/>
      <c r="F7" s="4"/>
      <c r="G7" s="4"/>
      <c r="H7" s="4"/>
      <c r="I7" s="4"/>
    </row>
    <row r="8" spans="1:9">
      <c r="A8" s="154"/>
      <c r="B8" s="164"/>
      <c r="C8" s="22"/>
      <c r="D8" s="4"/>
      <c r="E8" s="160"/>
      <c r="F8" s="4"/>
      <c r="G8" s="4"/>
      <c r="H8" s="4"/>
      <c r="I8" s="4"/>
    </row>
    <row r="9" spans="1:9">
      <c r="A9" s="154"/>
      <c r="B9" s="164"/>
      <c r="C9" s="22"/>
      <c r="D9" s="4"/>
      <c r="E9" s="160"/>
      <c r="F9" s="4"/>
      <c r="G9" s="4"/>
      <c r="H9" s="4"/>
      <c r="I9" s="4"/>
    </row>
    <row r="10" spans="1:9">
      <c r="A10" s="154"/>
      <c r="B10" s="164"/>
      <c r="C10" s="22"/>
      <c r="D10" s="4"/>
      <c r="E10" s="160"/>
      <c r="F10" s="4"/>
      <c r="G10" s="4"/>
      <c r="H10" s="4"/>
      <c r="I10" s="4"/>
    </row>
    <row r="11" spans="1:9">
      <c r="A11" s="154"/>
      <c r="B11" s="164"/>
      <c r="C11" s="22"/>
      <c r="D11" s="4"/>
      <c r="E11" s="160"/>
      <c r="F11" s="4"/>
      <c r="G11" s="4"/>
      <c r="H11" s="4"/>
      <c r="I11" s="4"/>
    </row>
    <row r="12" spans="1:9">
      <c r="A12" s="154"/>
      <c r="B12" s="164"/>
      <c r="C12" s="22"/>
      <c r="D12" s="4"/>
      <c r="E12" s="160"/>
      <c r="F12" s="4"/>
      <c r="G12" s="4"/>
      <c r="H12" s="4"/>
      <c r="I12" s="4"/>
    </row>
    <row r="13" spans="1:9">
      <c r="A13" s="154"/>
      <c r="B13" s="164"/>
      <c r="C13" s="22"/>
      <c r="D13" s="4"/>
      <c r="E13" s="160"/>
      <c r="F13" s="4"/>
      <c r="G13" s="4"/>
      <c r="H13" s="4"/>
      <c r="I13" s="4"/>
    </row>
    <row r="14" spans="1:9">
      <c r="A14" s="154"/>
      <c r="B14" s="164"/>
      <c r="C14" s="22"/>
      <c r="D14" s="4"/>
      <c r="E14" s="160"/>
      <c r="F14" s="4"/>
      <c r="G14" s="4"/>
      <c r="H14" s="4"/>
      <c r="I14" s="4"/>
    </row>
    <row r="15" spans="1:9">
      <c r="A15" s="154"/>
      <c r="B15" s="164"/>
      <c r="C15" s="22"/>
      <c r="D15" s="4"/>
      <c r="E15" s="160"/>
      <c r="F15" s="4"/>
      <c r="G15" s="4"/>
      <c r="H15" s="4"/>
      <c r="I15" s="4"/>
    </row>
    <row r="16" spans="1:9">
      <c r="A16" s="154"/>
      <c r="B16" s="164"/>
      <c r="C16" s="22"/>
      <c r="D16" s="4"/>
      <c r="E16" s="160"/>
      <c r="F16" s="4"/>
      <c r="G16" s="4"/>
      <c r="H16" s="4"/>
      <c r="I16" s="4"/>
    </row>
    <row r="17" spans="1:9">
      <c r="A17" s="154"/>
      <c r="B17" s="164"/>
      <c r="C17" s="22"/>
      <c r="D17" s="4"/>
      <c r="E17" s="160"/>
      <c r="F17" s="4"/>
      <c r="G17" s="4"/>
      <c r="H17" s="4"/>
      <c r="I17" s="4"/>
    </row>
    <row r="18" spans="1:9">
      <c r="A18" s="154"/>
      <c r="B18" s="164"/>
      <c r="C18" s="22"/>
      <c r="D18" s="4"/>
      <c r="E18" s="160"/>
      <c r="F18" s="4"/>
      <c r="G18" s="4"/>
      <c r="H18" s="4"/>
      <c r="I18" s="4"/>
    </row>
    <row r="19" spans="1:9">
      <c r="A19" s="154"/>
      <c r="B19" s="164"/>
      <c r="C19" s="22"/>
      <c r="D19" s="4"/>
      <c r="E19" s="160"/>
      <c r="F19" s="4"/>
      <c r="G19" s="4"/>
      <c r="H19" s="4"/>
      <c r="I19" s="4"/>
    </row>
    <row r="20" spans="1:9">
      <c r="A20" s="154"/>
      <c r="B20" s="164"/>
      <c r="C20" s="22"/>
      <c r="D20" s="4"/>
      <c r="E20" s="160"/>
      <c r="F20" s="4"/>
      <c r="G20" s="4"/>
      <c r="H20" s="4"/>
      <c r="I20" s="4"/>
    </row>
    <row r="21" spans="1:9">
      <c r="A21" s="154"/>
      <c r="B21" s="164"/>
      <c r="C21" s="22"/>
      <c r="D21" s="4"/>
      <c r="E21" s="160"/>
      <c r="F21" s="4"/>
      <c r="G21" s="4"/>
      <c r="H21" s="4"/>
      <c r="I21" s="4"/>
    </row>
    <row r="22" spans="1:9">
      <c r="A22" s="154"/>
      <c r="B22" s="164"/>
      <c r="C22" s="22"/>
      <c r="D22" s="4"/>
      <c r="E22" s="160"/>
      <c r="F22" s="4"/>
      <c r="G22" s="4"/>
      <c r="H22" s="4"/>
      <c r="I22" s="4"/>
    </row>
    <row r="23" spans="1:9">
      <c r="A23" s="155"/>
      <c r="B23" s="164"/>
      <c r="C23" s="79"/>
      <c r="D23" s="4"/>
      <c r="E23" s="160"/>
      <c r="F23" s="4"/>
      <c r="G23" s="4"/>
      <c r="H23" s="4"/>
      <c r="I23" s="4"/>
    </row>
    <row r="24" spans="1:9">
      <c r="A24" s="160"/>
      <c r="B24" s="164"/>
      <c r="C24" s="79"/>
      <c r="D24" s="4"/>
      <c r="E24" s="160"/>
      <c r="F24" s="4"/>
      <c r="G24" s="4"/>
      <c r="H24" s="4"/>
      <c r="I24" s="4"/>
    </row>
    <row r="25" spans="1:9">
      <c r="A25" s="160"/>
      <c r="B25" s="164"/>
      <c r="C25" s="79"/>
      <c r="D25" s="4"/>
      <c r="E25" s="155"/>
      <c r="F25" s="4"/>
      <c r="G25" s="4"/>
      <c r="H25" s="4"/>
      <c r="I25" s="4"/>
    </row>
    <row r="26" spans="1:9">
      <c r="A26" s="155"/>
      <c r="B26" s="164"/>
      <c r="C26" s="79"/>
      <c r="D26" s="4"/>
      <c r="E26" s="155"/>
      <c r="F26" s="4"/>
      <c r="G26" s="4"/>
      <c r="H26" s="4"/>
      <c r="I26" s="4"/>
    </row>
    <row r="27" spans="1:9">
      <c r="A27" s="155"/>
      <c r="B27" s="164"/>
      <c r="C27" s="79"/>
      <c r="D27" s="4"/>
      <c r="E27" s="4"/>
      <c r="F27" s="4"/>
      <c r="G27" s="4"/>
      <c r="H27" s="4"/>
      <c r="I27" s="4"/>
    </row>
    <row r="28" spans="1:9">
      <c r="A28" s="160"/>
      <c r="B28" s="164"/>
      <c r="C28" s="79"/>
      <c r="D28" s="4"/>
      <c r="E28" s="4"/>
      <c r="F28" s="4"/>
      <c r="G28" s="4"/>
      <c r="H28" s="4"/>
      <c r="I28" s="4"/>
    </row>
    <row r="29" spans="1:9">
      <c r="A29" s="160"/>
      <c r="B29" s="164"/>
      <c r="C29" s="79"/>
      <c r="D29" s="4"/>
      <c r="E29" s="4"/>
      <c r="F29" s="4"/>
      <c r="G29" s="4"/>
      <c r="H29" s="4"/>
      <c r="I29" s="4"/>
    </row>
    <row r="30" spans="1:9">
      <c r="A30" s="160"/>
      <c r="B30" s="164"/>
      <c r="C30" s="79"/>
      <c r="D30" s="4"/>
      <c r="E30" s="4"/>
      <c r="F30" s="4"/>
      <c r="G30" s="4"/>
      <c r="H30" s="4"/>
      <c r="I30" s="4"/>
    </row>
    <row r="31" spans="1:9">
      <c r="A31" s="160"/>
      <c r="B31" s="164"/>
      <c r="C31" s="79"/>
      <c r="D31" s="4"/>
      <c r="E31" s="4"/>
      <c r="F31" s="4"/>
      <c r="G31" s="4"/>
      <c r="H31" s="4"/>
      <c r="I31" s="4"/>
    </row>
    <row r="32" spans="1:9">
      <c r="A32" s="160"/>
      <c r="B32" s="164"/>
      <c r="C32" s="79"/>
      <c r="D32" s="4"/>
      <c r="E32" s="4"/>
      <c r="F32" s="4"/>
      <c r="G32" s="4"/>
      <c r="H32" s="4"/>
      <c r="I32" s="4"/>
    </row>
    <row r="33" spans="1:9">
      <c r="A33" s="160"/>
      <c r="B33" s="164"/>
      <c r="C33" s="79"/>
      <c r="D33" s="4"/>
      <c r="E33" s="4"/>
      <c r="F33" s="4"/>
      <c r="G33" s="4"/>
      <c r="H33" s="4"/>
      <c r="I33" s="4"/>
    </row>
    <row r="34" spans="1:9">
      <c r="A34" s="160"/>
      <c r="B34" s="164"/>
      <c r="C34" s="79"/>
      <c r="D34" s="4"/>
      <c r="E34" s="4"/>
      <c r="F34" s="4"/>
      <c r="G34" s="4"/>
      <c r="H34" s="4"/>
      <c r="I34" s="4"/>
    </row>
    <row r="35" spans="1:9">
      <c r="A35" s="160"/>
      <c r="B35" s="164"/>
      <c r="C35" s="79"/>
      <c r="D35" s="4"/>
      <c r="E35" s="4"/>
      <c r="F35" s="4"/>
      <c r="G35" s="4"/>
      <c r="H35" s="4"/>
      <c r="I35" s="4"/>
    </row>
    <row r="36" spans="1:9">
      <c r="A36" s="160"/>
      <c r="B36" s="164"/>
      <c r="C36" s="79"/>
      <c r="D36" s="4"/>
      <c r="E36" s="4"/>
      <c r="F36" s="4"/>
      <c r="G36" s="4"/>
      <c r="H36" s="4"/>
      <c r="I36" s="4"/>
    </row>
    <row r="37" spans="1:9">
      <c r="A37" s="160"/>
      <c r="B37" s="164"/>
      <c r="C37" s="79"/>
      <c r="D37" s="4"/>
      <c r="E37" s="4"/>
      <c r="F37" s="4"/>
      <c r="G37" s="4"/>
      <c r="H37" s="4"/>
      <c r="I37" s="4"/>
    </row>
    <row r="38" spans="1:9">
      <c r="A38" s="160"/>
      <c r="B38" s="164"/>
      <c r="C38" s="79"/>
      <c r="D38" s="4"/>
      <c r="E38" s="4"/>
      <c r="F38" s="4"/>
      <c r="G38" s="4"/>
      <c r="H38" s="4"/>
      <c r="I38" s="4"/>
    </row>
    <row r="39" spans="1:9">
      <c r="A39" s="160"/>
      <c r="B39" s="164"/>
      <c r="C39" s="79"/>
      <c r="D39" s="4"/>
      <c r="E39" s="4"/>
      <c r="F39" s="4"/>
      <c r="G39" s="4"/>
      <c r="H39" s="4"/>
      <c r="I39" s="4"/>
    </row>
    <row r="40" spans="1:9">
      <c r="A40" s="160"/>
      <c r="B40" s="164"/>
      <c r="C40" s="79"/>
      <c r="D40" s="4"/>
      <c r="E40" s="4"/>
      <c r="F40" s="4"/>
      <c r="G40" s="4"/>
      <c r="H40" s="4"/>
      <c r="I40" s="4"/>
    </row>
    <row r="41" spans="1:9">
      <c r="A41" s="160"/>
      <c r="B41" s="164"/>
      <c r="C41" s="79"/>
      <c r="D41" s="4"/>
      <c r="E41" s="4"/>
      <c r="F41" s="4"/>
      <c r="G41" s="4"/>
      <c r="H41" s="4"/>
      <c r="I41" s="4"/>
    </row>
    <row r="42" spans="1:9">
      <c r="A42" s="160"/>
      <c r="B42" s="164"/>
      <c r="C42" s="79"/>
      <c r="D42" s="4"/>
      <c r="E42" s="4"/>
      <c r="F42" s="4"/>
      <c r="G42" s="4"/>
      <c r="H42" s="4"/>
      <c r="I42" s="4"/>
    </row>
    <row r="43" spans="1:9">
      <c r="A43" s="160"/>
      <c r="B43" s="164"/>
      <c r="C43" s="79"/>
      <c r="D43" s="4"/>
      <c r="E43" s="4"/>
      <c r="F43" s="4"/>
      <c r="G43" s="4"/>
      <c r="H43" s="4"/>
      <c r="I43" s="4"/>
    </row>
    <row r="44" spans="1:9">
      <c r="A44" s="160"/>
      <c r="B44" s="164"/>
      <c r="C44" s="79"/>
      <c r="D44" s="4"/>
      <c r="E44" s="4"/>
      <c r="F44" s="4"/>
      <c r="G44" s="4"/>
      <c r="H44" s="4"/>
      <c r="I44" s="4"/>
    </row>
    <row r="45" spans="1:9">
      <c r="A45" s="160"/>
      <c r="B45" s="164"/>
      <c r="C45" s="79"/>
      <c r="D45" s="4"/>
      <c r="E45" s="4"/>
      <c r="F45" s="4"/>
      <c r="G45" s="4"/>
      <c r="H45" s="4"/>
      <c r="I45" s="4"/>
    </row>
    <row r="46" spans="1:9">
      <c r="A46" s="160"/>
      <c r="B46" s="164"/>
      <c r="C46" s="79"/>
      <c r="D46" s="4"/>
      <c r="E46" s="4"/>
      <c r="F46" s="4"/>
      <c r="G46" s="4"/>
      <c r="H46" s="4"/>
      <c r="I46" s="4"/>
    </row>
    <row r="47" spans="1:9">
      <c r="A47" s="160"/>
      <c r="B47" s="164"/>
      <c r="C47" s="79"/>
      <c r="D47" s="4"/>
      <c r="E47" s="164"/>
      <c r="F47" s="4"/>
      <c r="G47" s="4"/>
      <c r="H47" s="4"/>
      <c r="I47" s="4"/>
    </row>
    <row r="48" spans="1:9">
      <c r="A48" s="160"/>
      <c r="B48" s="164"/>
      <c r="C48" s="79"/>
      <c r="D48" s="4"/>
      <c r="E48" s="4"/>
      <c r="F48" s="4"/>
      <c r="G48" s="4"/>
      <c r="H48" s="4"/>
      <c r="I48" s="4"/>
    </row>
    <row r="49" spans="1:9">
      <c r="A49" s="160"/>
      <c r="B49" s="164"/>
      <c r="C49" s="79"/>
      <c r="D49" s="4"/>
      <c r="E49" s="4"/>
      <c r="F49" s="4"/>
      <c r="G49" s="4"/>
      <c r="H49" s="4"/>
      <c r="I49" s="4"/>
    </row>
    <row r="50" spans="1:9">
      <c r="A50" s="160"/>
      <c r="B50" s="164"/>
      <c r="C50" s="79"/>
      <c r="D50" s="4"/>
      <c r="E50" s="4"/>
      <c r="F50" s="4"/>
      <c r="G50" s="4"/>
      <c r="H50" s="4"/>
      <c r="I50" s="4"/>
    </row>
    <row r="51" spans="1:9">
      <c r="A51" s="160"/>
      <c r="B51" s="164"/>
      <c r="C51" s="79"/>
      <c r="D51" s="4"/>
      <c r="E51" s="4"/>
      <c r="F51" s="4"/>
      <c r="G51" s="4"/>
      <c r="H51" s="4"/>
      <c r="I51" s="4"/>
    </row>
    <row r="52" spans="1:9">
      <c r="A52" s="160"/>
      <c r="B52" s="164"/>
      <c r="C52" s="79"/>
      <c r="D52" s="4"/>
      <c r="E52" s="4"/>
      <c r="F52" s="4"/>
      <c r="G52" s="4"/>
      <c r="H52" s="4"/>
      <c r="I52" s="4"/>
    </row>
    <row r="53" spans="1:9">
      <c r="A53" s="160"/>
      <c r="B53" s="164"/>
      <c r="C53" s="79"/>
      <c r="D53" s="4"/>
      <c r="E53" s="4"/>
      <c r="F53" s="4"/>
      <c r="G53" s="4"/>
      <c r="H53" s="4"/>
      <c r="I53" s="4"/>
    </row>
    <row r="54" spans="1:9">
      <c r="A54" s="160"/>
      <c r="B54" s="164"/>
      <c r="C54" s="79"/>
      <c r="D54" s="4"/>
      <c r="E54" s="4"/>
      <c r="F54" s="4"/>
      <c r="G54" s="4"/>
      <c r="H54" s="4"/>
      <c r="I54" s="4"/>
    </row>
    <row r="55" spans="1:9">
      <c r="A55" s="160"/>
      <c r="B55" s="164"/>
      <c r="C55" s="79"/>
      <c r="D55" s="4"/>
      <c r="E55" s="4"/>
      <c r="F55" s="4"/>
      <c r="G55" s="4"/>
      <c r="H55" s="4"/>
      <c r="I55" s="4"/>
    </row>
    <row r="56" spans="1:9">
      <c r="A56" s="160"/>
      <c r="B56" s="164"/>
      <c r="C56" s="79"/>
      <c r="D56" s="4"/>
      <c r="E56" s="4"/>
      <c r="F56" s="4"/>
      <c r="G56" s="4"/>
      <c r="H56" s="4"/>
      <c r="I56" s="4"/>
    </row>
    <row r="57" spans="1:9">
      <c r="A57" s="160"/>
      <c r="B57" s="164"/>
      <c r="C57" s="79"/>
      <c r="D57" s="4"/>
      <c r="E57" s="4"/>
      <c r="F57" s="4"/>
      <c r="G57" s="4"/>
      <c r="H57" s="4"/>
      <c r="I57" s="4"/>
    </row>
    <row r="58" spans="1:9">
      <c r="A58" s="160"/>
      <c r="B58" s="164"/>
      <c r="C58" s="79"/>
      <c r="D58" s="4"/>
      <c r="E58" s="4"/>
      <c r="F58" s="4"/>
      <c r="G58" s="4"/>
      <c r="H58" s="4"/>
      <c r="I58" s="4"/>
    </row>
    <row r="59" spans="1:9">
      <c r="A59" s="160"/>
      <c r="B59" s="164"/>
      <c r="C59" s="79"/>
      <c r="D59" s="4"/>
      <c r="E59" s="4"/>
      <c r="F59" s="4"/>
      <c r="G59" s="4"/>
      <c r="H59" s="4"/>
      <c r="I59" s="4"/>
    </row>
    <row r="60" spans="1:9">
      <c r="A60" s="160"/>
      <c r="B60" s="164"/>
      <c r="C60" s="79"/>
      <c r="D60" s="4"/>
      <c r="E60" s="4"/>
      <c r="F60" s="4"/>
      <c r="G60" s="4"/>
      <c r="H60" s="4"/>
      <c r="I60" s="4"/>
    </row>
    <row r="61" spans="1:9">
      <c r="A61" s="160"/>
      <c r="B61" s="164"/>
      <c r="C61" s="79"/>
      <c r="D61" s="4"/>
      <c r="E61" s="164"/>
      <c r="F61" s="4"/>
      <c r="G61" s="4"/>
      <c r="H61" s="4"/>
      <c r="I61" s="4"/>
    </row>
    <row r="62" spans="1:9">
      <c r="A62" s="160"/>
      <c r="B62" s="164"/>
      <c r="C62" s="79"/>
      <c r="D62" s="4"/>
      <c r="E62" s="4"/>
      <c r="F62" s="4"/>
      <c r="G62" s="4"/>
      <c r="H62" s="4"/>
      <c r="I62" s="4"/>
    </row>
    <row r="63" spans="1:9">
      <c r="A63" s="160"/>
      <c r="B63" s="164"/>
      <c r="C63" s="79"/>
      <c r="D63" s="4"/>
      <c r="E63" s="4"/>
      <c r="F63" s="4"/>
      <c r="G63" s="4"/>
      <c r="H63" s="4"/>
      <c r="I63" s="4"/>
    </row>
    <row r="64" spans="1:9">
      <c r="A64" s="160"/>
      <c r="B64" s="164"/>
      <c r="C64" s="79"/>
      <c r="D64" s="4"/>
      <c r="E64" s="164"/>
      <c r="F64" s="4"/>
      <c r="G64" s="4"/>
      <c r="H64" s="4"/>
      <c r="I64" s="4"/>
    </row>
    <row r="65" spans="1:9">
      <c r="A65" s="160"/>
      <c r="B65" s="164"/>
      <c r="C65" s="79"/>
      <c r="D65" s="4"/>
      <c r="E65" s="164"/>
      <c r="F65" s="4"/>
      <c r="G65" s="4"/>
      <c r="H65" s="4"/>
      <c r="I65" s="4"/>
    </row>
    <row r="66" spans="1:9">
      <c r="A66" s="160"/>
      <c r="B66" s="164"/>
      <c r="C66" s="79"/>
      <c r="D66" s="4"/>
      <c r="E66" s="164"/>
      <c r="F66" s="4"/>
      <c r="G66" s="4"/>
      <c r="H66" s="4"/>
      <c r="I66" s="4"/>
    </row>
    <row r="67" spans="1:9">
      <c r="A67" s="160"/>
      <c r="B67" s="164"/>
      <c r="C67" s="79"/>
      <c r="D67" s="4"/>
      <c r="E67" s="4"/>
      <c r="F67" s="4"/>
      <c r="G67" s="4"/>
      <c r="H67" s="4"/>
      <c r="I67" s="4"/>
    </row>
    <row r="68" spans="1:9">
      <c r="A68" s="160"/>
      <c r="B68" s="164"/>
      <c r="C68" s="79"/>
      <c r="D68" s="4"/>
      <c r="E68" s="4"/>
      <c r="F68" s="4"/>
      <c r="G68" s="4"/>
      <c r="H68" s="4"/>
      <c r="I68" s="4"/>
    </row>
    <row r="69" spans="1:9">
      <c r="A69" s="160"/>
      <c r="B69" s="164"/>
      <c r="C69" s="79"/>
      <c r="D69" s="4"/>
      <c r="E69" s="164"/>
      <c r="F69" s="4"/>
      <c r="G69" s="4"/>
      <c r="H69" s="4"/>
      <c r="I69" s="4"/>
    </row>
    <row r="70" spans="1:9">
      <c r="A70" s="160"/>
      <c r="B70" s="164"/>
      <c r="C70" s="79"/>
      <c r="D70" s="4"/>
      <c r="E70" s="4"/>
      <c r="F70" s="4"/>
      <c r="G70" s="4"/>
      <c r="H70" s="4"/>
      <c r="I70" s="4"/>
    </row>
    <row r="71" spans="1:9">
      <c r="A71" s="160"/>
      <c r="B71" s="164"/>
      <c r="C71" s="79"/>
      <c r="D71" s="4"/>
      <c r="E71" s="164"/>
      <c r="F71" s="4"/>
      <c r="G71" s="4"/>
      <c r="H71" s="4"/>
      <c r="I71" s="4"/>
    </row>
    <row r="72" spans="1:9">
      <c r="A72" s="160"/>
      <c r="B72" s="164"/>
      <c r="C72" s="79"/>
      <c r="D72" s="4"/>
      <c r="E72" s="164"/>
      <c r="F72" s="4"/>
      <c r="G72" s="4"/>
      <c r="H72" s="4"/>
      <c r="I72" s="4"/>
    </row>
    <row r="73" spans="1:9">
      <c r="A73" s="160"/>
      <c r="B73" s="164"/>
      <c r="C73" s="79"/>
      <c r="D73" s="4"/>
      <c r="E73" s="4"/>
      <c r="F73" s="4"/>
      <c r="G73" s="4"/>
      <c r="H73" s="4"/>
      <c r="I73" s="4"/>
    </row>
    <row r="74" spans="1:9">
      <c r="A74" s="160"/>
      <c r="B74" s="164"/>
      <c r="C74" s="79"/>
      <c r="D74" s="4"/>
      <c r="E74" s="4"/>
      <c r="F74" s="4"/>
      <c r="G74" s="4"/>
      <c r="H74" s="4"/>
      <c r="I74" s="4"/>
    </row>
    <row r="75" spans="1:9">
      <c r="A75" s="160"/>
      <c r="B75" s="164"/>
      <c r="C75" s="79"/>
      <c r="D75" s="4"/>
      <c r="E75" s="4"/>
      <c r="F75" s="4"/>
      <c r="G75" s="4"/>
      <c r="H75" s="4"/>
      <c r="I75" s="4"/>
    </row>
    <row r="76" spans="1:9">
      <c r="A76" s="160"/>
      <c r="B76" s="164"/>
      <c r="C76" s="79"/>
      <c r="D76" s="4"/>
      <c r="E76" s="4"/>
      <c r="F76" s="4"/>
      <c r="G76" s="4"/>
      <c r="H76" s="4"/>
      <c r="I76" s="4"/>
    </row>
    <row r="77" spans="1:9">
      <c r="A77" s="160"/>
      <c r="B77" s="164"/>
      <c r="C77" s="79"/>
      <c r="D77" s="4"/>
      <c r="E77" s="4"/>
      <c r="F77" s="4"/>
      <c r="G77" s="4"/>
      <c r="H77" s="4"/>
      <c r="I77" s="4"/>
    </row>
    <row r="78" spans="1:9">
      <c r="A78" s="160"/>
      <c r="B78" s="164"/>
      <c r="C78" s="79"/>
      <c r="D78" s="4"/>
      <c r="E78" s="4"/>
      <c r="F78" s="4"/>
      <c r="G78" s="4"/>
      <c r="H78" s="4"/>
      <c r="I78" s="4"/>
    </row>
    <row r="79" spans="1:9">
      <c r="A79" s="160"/>
      <c r="B79" s="164"/>
      <c r="C79" s="79"/>
      <c r="D79" s="4"/>
      <c r="E79" s="4"/>
      <c r="F79" s="4"/>
      <c r="G79" s="4"/>
      <c r="H79" s="4"/>
      <c r="I79" s="4"/>
    </row>
    <row r="80" spans="1:9">
      <c r="A80" s="160"/>
      <c r="B80" s="164"/>
      <c r="C80" s="79"/>
      <c r="D80" s="4"/>
      <c r="E80" s="4"/>
      <c r="F80" s="4"/>
      <c r="G80" s="4"/>
      <c r="H80" s="4"/>
      <c r="I80" s="4"/>
    </row>
    <row r="81" spans="1:9">
      <c r="A81" s="160"/>
      <c r="B81" s="164"/>
      <c r="C81" s="79"/>
      <c r="D81" s="4"/>
      <c r="E81" s="4"/>
      <c r="F81" s="4"/>
      <c r="G81" s="4"/>
      <c r="H81" s="4"/>
      <c r="I81" s="4"/>
    </row>
    <row r="82" spans="1:9">
      <c r="A82" s="160"/>
      <c r="B82" s="164"/>
      <c r="C82" s="79"/>
      <c r="D82" s="4"/>
      <c r="E82" s="4"/>
      <c r="F82" s="4"/>
      <c r="G82" s="4"/>
      <c r="H82" s="4"/>
      <c r="I82" s="4"/>
    </row>
    <row r="83" spans="1:9">
      <c r="A83" s="160"/>
      <c r="B83" s="164"/>
      <c r="C83" s="79"/>
      <c r="D83" s="4"/>
      <c r="E83" s="4"/>
      <c r="F83" s="4"/>
      <c r="G83" s="4"/>
      <c r="H83" s="4"/>
      <c r="I83" s="4"/>
    </row>
    <row r="84" spans="1:9">
      <c r="A84" s="160"/>
      <c r="B84" s="164"/>
      <c r="C84" s="79"/>
      <c r="D84" s="4"/>
      <c r="E84" s="4"/>
      <c r="F84" s="4"/>
      <c r="G84" s="4"/>
      <c r="H84" s="4"/>
      <c r="I84" s="4"/>
    </row>
    <row r="85" spans="1:9">
      <c r="A85" s="160"/>
      <c r="B85" s="164"/>
      <c r="C85" s="79"/>
      <c r="D85" s="4"/>
      <c r="E85" s="4"/>
      <c r="F85" s="4"/>
      <c r="G85" s="4"/>
      <c r="H85" s="4"/>
      <c r="I85" s="4"/>
    </row>
    <row r="86" spans="1:9">
      <c r="A86" s="160"/>
      <c r="B86" s="164"/>
      <c r="C86" s="79"/>
      <c r="D86" s="4"/>
      <c r="E86" s="4"/>
      <c r="F86" s="4"/>
      <c r="G86" s="4"/>
      <c r="H86" s="4"/>
      <c r="I86" s="4"/>
    </row>
    <row r="87" spans="1:9">
      <c r="A87" s="160"/>
      <c r="B87" s="164"/>
      <c r="C87" s="79"/>
      <c r="D87" s="4"/>
      <c r="E87" s="4"/>
      <c r="F87" s="4"/>
      <c r="G87" s="4"/>
      <c r="H87" s="4"/>
      <c r="I87" s="4"/>
    </row>
    <row r="88" spans="1:9">
      <c r="A88" s="160"/>
      <c r="B88" s="164"/>
      <c r="C88" s="79"/>
      <c r="D88" s="4"/>
      <c r="E88" s="4"/>
      <c r="F88" s="4"/>
      <c r="G88" s="4"/>
      <c r="H88" s="4"/>
      <c r="I88" s="4"/>
    </row>
    <row r="89" spans="1:9">
      <c r="A89" s="160"/>
      <c r="B89" s="164"/>
      <c r="C89" s="79"/>
      <c r="D89" s="4"/>
      <c r="E89" s="4"/>
      <c r="F89" s="4"/>
      <c r="G89" s="4"/>
      <c r="H89" s="4"/>
      <c r="I89" s="4"/>
    </row>
    <row r="90" spans="1:9">
      <c r="A90" s="160"/>
      <c r="B90" s="164"/>
      <c r="C90" s="79"/>
      <c r="D90" s="4"/>
      <c r="E90" s="4"/>
      <c r="F90" s="4"/>
      <c r="G90" s="4"/>
      <c r="H90" s="4"/>
      <c r="I90" s="4"/>
    </row>
    <row r="91" spans="1:9">
      <c r="A91" s="160"/>
      <c r="B91" s="164"/>
      <c r="C91" s="79"/>
      <c r="D91" s="4"/>
      <c r="E91" s="4"/>
      <c r="F91" s="4"/>
      <c r="G91" s="4"/>
      <c r="H91" s="4"/>
      <c r="I91" s="4"/>
    </row>
    <row r="92" spans="1:9">
      <c r="A92" s="160"/>
      <c r="B92" s="164"/>
      <c r="C92" s="79"/>
      <c r="D92" s="4"/>
      <c r="E92" s="4"/>
      <c r="F92" s="4"/>
      <c r="G92" s="4"/>
      <c r="H92" s="4"/>
      <c r="I92" s="4"/>
    </row>
    <row r="93" spans="1:9">
      <c r="A93" s="160"/>
      <c r="B93" s="164"/>
      <c r="C93" s="79"/>
      <c r="D93" s="4"/>
      <c r="E93" s="4"/>
      <c r="F93" s="4"/>
      <c r="G93" s="4"/>
      <c r="H93" s="4"/>
      <c r="I93" s="4"/>
    </row>
    <row r="94" spans="1:9">
      <c r="A94" s="160"/>
      <c r="B94" s="164"/>
      <c r="C94" s="79"/>
      <c r="D94" s="4"/>
      <c r="E94" s="4"/>
      <c r="F94" s="4"/>
      <c r="G94" s="4"/>
      <c r="H94" s="4"/>
      <c r="I94" s="4"/>
    </row>
    <row r="95" spans="1:9">
      <c r="A95" s="160"/>
      <c r="B95" s="164"/>
      <c r="C95" s="79"/>
      <c r="D95" s="4"/>
      <c r="E95" s="4"/>
      <c r="F95" s="4"/>
      <c r="G95" s="4"/>
      <c r="H95" s="4"/>
      <c r="I95" s="4"/>
    </row>
    <row r="96" spans="1:9">
      <c r="A96" s="160"/>
      <c r="B96" s="164"/>
      <c r="C96" s="79"/>
      <c r="D96" s="4"/>
      <c r="E96" s="4"/>
      <c r="F96" s="4"/>
      <c r="G96" s="4"/>
      <c r="H96" s="4"/>
      <c r="I96" s="4"/>
    </row>
    <row r="97" spans="1:9">
      <c r="A97" s="160"/>
      <c r="B97" s="164"/>
      <c r="C97" s="79"/>
      <c r="D97" s="4"/>
      <c r="E97" s="4"/>
      <c r="F97" s="4"/>
      <c r="G97" s="4"/>
      <c r="H97" s="4"/>
      <c r="I97" s="4"/>
    </row>
    <row r="98" spans="1:9">
      <c r="A98" s="160"/>
      <c r="B98" s="164"/>
      <c r="C98" s="79"/>
      <c r="D98" s="4"/>
      <c r="E98" s="4"/>
      <c r="F98" s="4"/>
      <c r="G98" s="4"/>
      <c r="H98" s="4"/>
      <c r="I98" s="4"/>
    </row>
    <row r="99" spans="1:9">
      <c r="A99" s="160"/>
      <c r="B99" s="164"/>
      <c r="C99" s="79"/>
      <c r="D99" s="4"/>
      <c r="E99" s="4"/>
      <c r="F99" s="4"/>
      <c r="G99" s="4"/>
      <c r="H99" s="4"/>
      <c r="I99" s="4"/>
    </row>
    <row r="100" spans="1:9">
      <c r="A100" s="160"/>
      <c r="B100" s="164"/>
      <c r="C100" s="79"/>
      <c r="D100" s="4"/>
      <c r="E100" s="4"/>
      <c r="F100" s="4"/>
      <c r="G100" s="4"/>
      <c r="H100" s="4"/>
      <c r="I100" s="4"/>
    </row>
    <row r="101" spans="1:9">
      <c r="A101" s="165"/>
      <c r="B101" s="164"/>
      <c r="C101" s="79"/>
      <c r="D101" s="4"/>
      <c r="E101" s="4"/>
      <c r="F101" s="4"/>
      <c r="G101" s="4"/>
      <c r="H101" s="4"/>
      <c r="I101" s="4"/>
    </row>
    <row r="102" spans="1:9">
      <c r="A102" s="165"/>
      <c r="B102" s="164"/>
      <c r="C102" s="79"/>
      <c r="D102" s="4"/>
      <c r="E102" s="4"/>
      <c r="F102" s="4"/>
      <c r="G102" s="4"/>
      <c r="H102" s="4"/>
      <c r="I102" s="4"/>
    </row>
    <row r="103" spans="1:9">
      <c r="A103" s="160"/>
      <c r="B103" s="164"/>
      <c r="C103" s="79"/>
      <c r="D103" s="4"/>
      <c r="E103" s="4"/>
      <c r="F103" s="4"/>
      <c r="G103" s="4"/>
      <c r="H103" s="4"/>
      <c r="I103" s="4"/>
    </row>
    <row r="104" spans="1:9">
      <c r="A104" s="160"/>
      <c r="B104" s="164"/>
      <c r="C104" s="79"/>
      <c r="D104" s="4"/>
      <c r="E104" s="4"/>
      <c r="F104" s="4"/>
      <c r="G104" s="4"/>
      <c r="H104" s="4"/>
      <c r="I104" s="4"/>
    </row>
    <row r="105" spans="1:9">
      <c r="A105" s="160"/>
      <c r="B105" s="164"/>
      <c r="C105" s="79"/>
      <c r="D105" s="4"/>
      <c r="E105" s="4"/>
      <c r="F105" s="4"/>
      <c r="G105" s="4"/>
      <c r="H105" s="4"/>
      <c r="I105" s="4"/>
    </row>
    <row r="106" spans="1:9">
      <c r="A106" s="160"/>
      <c r="B106" s="164"/>
      <c r="C106" s="79"/>
      <c r="D106" s="4"/>
      <c r="E106" s="4"/>
      <c r="F106" s="4"/>
      <c r="G106" s="4"/>
      <c r="H106" s="4"/>
      <c r="I106" s="4"/>
    </row>
    <row r="107" spans="1:9">
      <c r="A107" s="160"/>
      <c r="B107" s="164"/>
      <c r="C107" s="79"/>
      <c r="D107" s="4"/>
      <c r="E107" s="4"/>
      <c r="F107" s="4"/>
      <c r="G107" s="4"/>
      <c r="H107" s="4"/>
      <c r="I107" s="4"/>
    </row>
    <row r="108" spans="1:9">
      <c r="A108" s="160"/>
      <c r="B108" s="164"/>
      <c r="C108" s="79"/>
      <c r="D108" s="4"/>
      <c r="E108" s="4"/>
      <c r="F108" s="4"/>
      <c r="G108" s="4"/>
      <c r="H108" s="4"/>
      <c r="I108" s="4"/>
    </row>
    <row r="109" spans="1:9">
      <c r="A109" s="160"/>
      <c r="B109" s="164"/>
      <c r="C109" s="79"/>
      <c r="D109" s="4"/>
      <c r="E109" s="4"/>
      <c r="F109" s="4"/>
      <c r="G109" s="4"/>
      <c r="H109" s="4"/>
      <c r="I109" s="4"/>
    </row>
    <row r="110" spans="1:9">
      <c r="A110" s="160"/>
      <c r="B110" s="164"/>
      <c r="C110" s="79"/>
      <c r="D110" s="4"/>
      <c r="E110" s="4"/>
      <c r="F110" s="4"/>
      <c r="G110" s="4"/>
      <c r="H110" s="4"/>
      <c r="I110" s="4"/>
    </row>
    <row r="111" spans="1:9">
      <c r="A111" s="160"/>
      <c r="B111" s="164"/>
      <c r="C111" s="79"/>
      <c r="D111" s="4"/>
      <c r="E111" s="4"/>
      <c r="F111" s="4"/>
      <c r="G111" s="4"/>
      <c r="H111" s="4"/>
      <c r="I111" s="4"/>
    </row>
    <row r="112" spans="1:9">
      <c r="A112" s="160"/>
      <c r="B112" s="164"/>
      <c r="C112" s="79"/>
      <c r="D112" s="4"/>
      <c r="E112" s="4"/>
      <c r="F112" s="4"/>
      <c r="G112" s="4"/>
      <c r="H112" s="4"/>
      <c r="I112" s="4"/>
    </row>
    <row r="113" spans="1:9">
      <c r="A113" s="160"/>
      <c r="B113" s="164"/>
      <c r="C113" s="79"/>
      <c r="D113" s="4"/>
      <c r="E113" s="4"/>
      <c r="F113" s="4"/>
      <c r="G113" s="4"/>
      <c r="H113" s="4"/>
      <c r="I113" s="4"/>
    </row>
    <row r="114" spans="1:9">
      <c r="A114" s="160"/>
      <c r="B114" s="164"/>
      <c r="C114" s="79"/>
      <c r="D114" s="4"/>
      <c r="E114" s="4"/>
      <c r="F114" s="4"/>
      <c r="G114" s="4"/>
      <c r="H114" s="4"/>
      <c r="I114" s="4"/>
    </row>
    <row r="115" spans="1:9">
      <c r="A115" s="160"/>
      <c r="B115" s="164"/>
      <c r="C115" s="79"/>
      <c r="D115" s="4"/>
      <c r="E115" s="4"/>
      <c r="F115" s="4"/>
      <c r="G115" s="4"/>
      <c r="H115" s="4"/>
      <c r="I115" s="4"/>
    </row>
    <row r="116" spans="1:9">
      <c r="A116" s="160"/>
      <c r="B116" s="164"/>
      <c r="C116" s="79"/>
      <c r="D116" s="4"/>
      <c r="E116" s="4"/>
      <c r="F116" s="4"/>
      <c r="G116" s="4"/>
      <c r="H116" s="4"/>
      <c r="I116" s="4"/>
    </row>
    <row r="117" spans="1:9">
      <c r="A117" s="160"/>
      <c r="B117" s="164"/>
      <c r="C117" s="79"/>
      <c r="D117" s="4"/>
      <c r="E117" s="4"/>
      <c r="F117" s="4"/>
      <c r="G117" s="4"/>
      <c r="H117" s="4"/>
      <c r="I117" s="4"/>
    </row>
    <row r="118" spans="1:9">
      <c r="A118" s="160"/>
      <c r="B118" s="164"/>
      <c r="C118" s="79"/>
      <c r="D118" s="4"/>
      <c r="E118" s="4"/>
      <c r="F118" s="4"/>
      <c r="G118" s="4"/>
      <c r="H118" s="4"/>
      <c r="I118" s="4"/>
    </row>
    <row r="119" spans="1:9">
      <c r="A119" s="160"/>
      <c r="B119" s="164"/>
      <c r="C119" s="79"/>
      <c r="D119" s="4"/>
      <c r="E119" s="4"/>
      <c r="F119" s="4"/>
      <c r="G119" s="4"/>
      <c r="H119" s="4"/>
      <c r="I119" s="4"/>
    </row>
    <row r="120" spans="1:9">
      <c r="A120" s="160"/>
      <c r="B120" s="164"/>
      <c r="C120" s="166"/>
      <c r="D120" s="4"/>
      <c r="E120" s="4"/>
      <c r="F120" s="4"/>
      <c r="G120" s="4"/>
      <c r="H120" s="4"/>
      <c r="I120" s="4"/>
    </row>
    <row r="121" spans="1:9">
      <c r="A121" s="160"/>
      <c r="B121" s="164"/>
      <c r="C121" s="79"/>
      <c r="D121" s="4"/>
      <c r="E121" s="4"/>
      <c r="F121" s="4"/>
      <c r="G121" s="4"/>
      <c r="H121" s="4"/>
      <c r="I121" s="4"/>
    </row>
    <row r="122" spans="1:9">
      <c r="A122" s="160"/>
      <c r="B122" s="164"/>
      <c r="C122" s="166"/>
      <c r="D122" s="4"/>
      <c r="E122" s="4"/>
      <c r="F122" s="4"/>
      <c r="G122" s="4"/>
      <c r="H122" s="4"/>
      <c r="I122" s="4"/>
    </row>
    <row r="123" spans="1:9">
      <c r="A123" s="160"/>
      <c r="B123" s="164"/>
      <c r="C123" s="166"/>
      <c r="D123" s="4"/>
      <c r="E123" s="4"/>
      <c r="F123" s="4"/>
      <c r="G123" s="4"/>
      <c r="H123" s="4"/>
      <c r="I123" s="4"/>
    </row>
    <row r="124" spans="1:9">
      <c r="A124" s="160"/>
      <c r="B124" s="164"/>
      <c r="C124" s="166"/>
      <c r="D124" s="4"/>
      <c r="E124" s="4"/>
      <c r="F124" s="4"/>
      <c r="G124" s="4"/>
      <c r="H124" s="4"/>
      <c r="I124" s="4"/>
    </row>
    <row r="125" spans="1:9">
      <c r="A125" s="160"/>
      <c r="B125" s="164"/>
      <c r="C125" s="166"/>
      <c r="D125" s="4"/>
      <c r="E125" s="4"/>
      <c r="F125" s="4"/>
      <c r="G125" s="4"/>
      <c r="H125" s="4"/>
      <c r="I125" s="4"/>
    </row>
    <row r="126" spans="1:9">
      <c r="A126" s="160"/>
      <c r="B126" s="164"/>
      <c r="C126" s="79"/>
      <c r="D126" s="4"/>
      <c r="E126" s="4"/>
      <c r="F126" s="4"/>
      <c r="G126" s="4"/>
      <c r="H126" s="4"/>
      <c r="I126" s="4"/>
    </row>
    <row r="127" spans="1:9">
      <c r="A127" s="160"/>
      <c r="B127" s="4"/>
      <c r="C127" s="79"/>
      <c r="D127" s="4"/>
      <c r="E127" s="4"/>
      <c r="F127" s="4"/>
      <c r="G127" s="4"/>
      <c r="H127" s="4"/>
      <c r="I127" s="4"/>
    </row>
    <row r="128" spans="1:9">
      <c r="A128" s="160"/>
      <c r="B128" s="4"/>
      <c r="C128" s="79"/>
      <c r="D128" s="4"/>
      <c r="E128" s="4"/>
      <c r="F128" s="4"/>
      <c r="G128" s="4"/>
      <c r="H128" s="4"/>
      <c r="I128" s="4"/>
    </row>
    <row r="129" spans="1:9">
      <c r="A129" s="160"/>
      <c r="B129" s="4"/>
      <c r="C129" s="79"/>
      <c r="D129" s="4"/>
      <c r="E129" s="4"/>
      <c r="F129" s="4"/>
      <c r="G129" s="4"/>
      <c r="H129" s="4"/>
      <c r="I129" s="4"/>
    </row>
    <row r="130" spans="1:9">
      <c r="A130" s="160"/>
      <c r="B130" s="4"/>
      <c r="C130" s="79"/>
      <c r="D130" s="4"/>
      <c r="E130" s="4"/>
      <c r="F130" s="4"/>
      <c r="G130" s="4"/>
      <c r="H130" s="4"/>
      <c r="I130" s="4"/>
    </row>
    <row r="131" spans="1:9">
      <c r="A131" s="160"/>
      <c r="B131" s="4"/>
      <c r="C131" s="79"/>
      <c r="D131" s="4"/>
      <c r="E131" s="4"/>
      <c r="F131" s="4"/>
      <c r="G131" s="4"/>
      <c r="H131" s="4"/>
      <c r="I131" s="4"/>
    </row>
    <row r="132" spans="1:9">
      <c r="A132" s="160"/>
      <c r="B132" s="4"/>
      <c r="C132" s="79"/>
      <c r="D132" s="4"/>
      <c r="E132" s="4"/>
      <c r="F132" s="4"/>
      <c r="G132" s="4"/>
      <c r="H132" s="4"/>
      <c r="I132" s="4"/>
    </row>
  </sheetData>
  <sortState ref="A1:F125">
    <sortCondition ref="A96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8"/>
  <sheetViews>
    <sheetView workbookViewId="0">
      <pane ySplit="1" topLeftCell="A338" activePane="bottomLeft" state="frozen"/>
      <selection pane="bottomLeft" activeCell="A339" sqref="A339"/>
    </sheetView>
  </sheetViews>
  <sheetFormatPr baseColWidth="10" defaultRowHeight="15" x14ac:dyDescent="0"/>
  <cols>
    <col min="1" max="1" width="18" customWidth="1"/>
    <col min="2" max="2" width="27.6640625" customWidth="1"/>
    <col min="3" max="3" width="32.33203125" bestFit="1" customWidth="1"/>
    <col min="4" max="4" width="29" style="26" bestFit="1" customWidth="1"/>
    <col min="5" max="5" width="20.1640625" style="12" customWidth="1"/>
    <col min="6" max="6" width="14.33203125" style="26" customWidth="1"/>
    <col min="7" max="7" width="26.1640625" style="26" bestFit="1" customWidth="1"/>
    <col min="8" max="8" width="25.1640625" bestFit="1" customWidth="1"/>
    <col min="9" max="9" width="8.6640625" customWidth="1"/>
    <col min="10" max="10" width="14.1640625" customWidth="1"/>
  </cols>
  <sheetData>
    <row r="1" spans="1:8" s="54" customFormat="1" ht="45">
      <c r="A1" s="52" t="s">
        <v>72</v>
      </c>
      <c r="B1" s="52" t="s">
        <v>74</v>
      </c>
      <c r="C1" s="52" t="s">
        <v>0</v>
      </c>
      <c r="D1" s="52" t="s">
        <v>159</v>
      </c>
      <c r="E1" s="53" t="s">
        <v>73</v>
      </c>
      <c r="F1" s="52" t="s">
        <v>234</v>
      </c>
      <c r="G1" s="52" t="s">
        <v>160</v>
      </c>
      <c r="H1" s="52" t="s">
        <v>233</v>
      </c>
    </row>
    <row r="2" spans="1:8" s="4" customFormat="1">
      <c r="A2" s="155"/>
      <c r="B2" s="236"/>
      <c r="D2" s="73"/>
      <c r="E2" s="46"/>
      <c r="F2" s="73"/>
      <c r="G2" s="156"/>
    </row>
    <row r="3" spans="1:8" s="4" customFormat="1">
      <c r="A3" s="155"/>
      <c r="B3" s="236"/>
      <c r="D3" s="73"/>
      <c r="E3" s="46"/>
      <c r="F3" s="73"/>
      <c r="G3" s="156"/>
    </row>
    <row r="4" spans="1:8" s="4" customFormat="1">
      <c r="A4" s="155"/>
      <c r="D4" s="237"/>
      <c r="E4" s="79"/>
      <c r="F4" s="73"/>
      <c r="G4" s="73"/>
      <c r="H4" s="73"/>
    </row>
    <row r="5" spans="1:8" s="4" customFormat="1">
      <c r="A5" s="155"/>
      <c r="D5" s="237"/>
      <c r="E5" s="79"/>
      <c r="F5" s="73"/>
      <c r="G5" s="73"/>
      <c r="H5" s="73"/>
    </row>
    <row r="6" spans="1:8" s="4" customFormat="1">
      <c r="A6" s="155"/>
      <c r="B6" s="148"/>
      <c r="E6" s="238"/>
      <c r="F6" s="73"/>
      <c r="G6" s="156"/>
      <c r="H6" s="73"/>
    </row>
    <row r="7" spans="1:8" s="4" customFormat="1">
      <c r="A7" s="155"/>
      <c r="B7" s="236"/>
      <c r="D7" s="73"/>
      <c r="E7" s="46"/>
      <c r="F7" s="73"/>
      <c r="G7" s="156"/>
    </row>
    <row r="8" spans="1:8" s="4" customFormat="1">
      <c r="A8" s="155"/>
      <c r="B8" s="236"/>
      <c r="D8" s="73"/>
      <c r="E8" s="46"/>
      <c r="F8" s="73"/>
      <c r="G8" s="156"/>
      <c r="H8" s="73"/>
    </row>
    <row r="9" spans="1:8" s="4" customFormat="1">
      <c r="A9" s="155"/>
      <c r="B9" s="236"/>
      <c r="D9" s="73"/>
      <c r="E9" s="46"/>
      <c r="F9" s="73"/>
      <c r="G9" s="156"/>
      <c r="H9" s="73"/>
    </row>
    <row r="10" spans="1:8" s="4" customFormat="1">
      <c r="A10" s="155"/>
      <c r="B10" s="236"/>
      <c r="D10" s="73"/>
      <c r="E10" s="46"/>
      <c r="F10" s="73"/>
      <c r="G10" s="156"/>
      <c r="H10" s="73"/>
    </row>
    <row r="11" spans="1:8" s="4" customFormat="1">
      <c r="A11" s="155"/>
      <c r="B11" s="236"/>
      <c r="D11" s="73"/>
      <c r="E11" s="46"/>
      <c r="F11" s="73"/>
      <c r="G11" s="156"/>
      <c r="H11" s="73"/>
    </row>
    <row r="12" spans="1:8" s="4" customFormat="1">
      <c r="A12" s="155"/>
      <c r="B12" s="236"/>
      <c r="D12" s="73"/>
      <c r="E12" s="46"/>
      <c r="F12" s="73"/>
      <c r="G12" s="156"/>
      <c r="H12" s="73"/>
    </row>
    <row r="13" spans="1:8" s="4" customFormat="1">
      <c r="A13" s="155"/>
      <c r="B13" s="145"/>
      <c r="D13" s="156"/>
      <c r="E13" s="238"/>
      <c r="F13" s="73"/>
      <c r="G13" s="156"/>
      <c r="H13" s="73"/>
    </row>
    <row r="14" spans="1:8" s="4" customFormat="1">
      <c r="A14" s="155"/>
      <c r="B14" s="236"/>
      <c r="D14" s="156"/>
      <c r="E14" s="46"/>
      <c r="F14" s="73"/>
      <c r="G14" s="156"/>
      <c r="H14" s="73"/>
    </row>
    <row r="15" spans="1:8" s="4" customFormat="1">
      <c r="A15" s="155"/>
      <c r="D15" s="54"/>
      <c r="E15" s="79"/>
      <c r="F15" s="73"/>
      <c r="G15" s="73"/>
      <c r="H15" s="73"/>
    </row>
    <row r="16" spans="1:8" s="4" customFormat="1">
      <c r="A16" s="155"/>
      <c r="D16" s="73"/>
      <c r="E16" s="79"/>
      <c r="F16" s="73"/>
      <c r="G16" s="73"/>
      <c r="H16" s="73"/>
    </row>
    <row r="17" spans="1:8" s="4" customFormat="1">
      <c r="A17" s="155"/>
      <c r="B17" s="145"/>
      <c r="D17" s="156"/>
      <c r="E17" s="238"/>
      <c r="F17" s="73"/>
      <c r="G17" s="156"/>
      <c r="H17" s="73"/>
    </row>
    <row r="18" spans="1:8" s="4" customFormat="1">
      <c r="A18" s="155"/>
      <c r="B18" s="145"/>
      <c r="D18" s="156"/>
      <c r="E18" s="238"/>
      <c r="F18" s="73"/>
      <c r="G18" s="156"/>
    </row>
    <row r="19" spans="1:8" s="4" customFormat="1">
      <c r="A19" s="155"/>
      <c r="B19" s="145"/>
      <c r="D19" s="156"/>
      <c r="E19" s="46"/>
      <c r="F19" s="73"/>
      <c r="G19" s="156"/>
      <c r="H19" s="73"/>
    </row>
    <row r="20" spans="1:8" s="4" customFormat="1">
      <c r="A20" s="155"/>
      <c r="B20" s="145"/>
      <c r="D20" s="156"/>
      <c r="E20" s="46"/>
      <c r="F20" s="73"/>
      <c r="G20" s="156"/>
      <c r="H20" s="73"/>
    </row>
    <row r="21" spans="1:8" s="4" customFormat="1">
      <c r="A21" s="155"/>
      <c r="B21" s="145"/>
      <c r="D21" s="156"/>
      <c r="E21" s="46"/>
      <c r="F21" s="73"/>
      <c r="G21" s="156"/>
      <c r="H21" s="73"/>
    </row>
    <row r="22" spans="1:8" s="4" customFormat="1">
      <c r="A22" s="155"/>
      <c r="B22" s="145"/>
      <c r="D22" s="156"/>
      <c r="E22" s="238"/>
      <c r="F22" s="73"/>
      <c r="G22" s="156"/>
    </row>
    <row r="23" spans="1:8" s="4" customFormat="1">
      <c r="A23" s="155"/>
      <c r="B23" s="145"/>
      <c r="D23" s="156"/>
      <c r="E23" s="46"/>
      <c r="F23" s="73"/>
      <c r="G23" s="156"/>
      <c r="H23" s="73"/>
    </row>
    <row r="24" spans="1:8" s="4" customFormat="1">
      <c r="A24" s="155"/>
      <c r="B24" s="145"/>
      <c r="D24" s="156"/>
      <c r="E24" s="46"/>
      <c r="F24" s="73"/>
      <c r="G24" s="156"/>
      <c r="H24" s="73"/>
    </row>
    <row r="25" spans="1:8" s="4" customFormat="1">
      <c r="A25" s="155"/>
      <c r="B25" s="145"/>
      <c r="D25" s="156"/>
      <c r="E25" s="46"/>
      <c r="F25" s="73"/>
      <c r="G25" s="156"/>
      <c r="H25" s="73"/>
    </row>
    <row r="26" spans="1:8" s="4" customFormat="1">
      <c r="A26" s="155"/>
      <c r="D26" s="54"/>
      <c r="E26" s="79"/>
      <c r="F26" s="73"/>
      <c r="G26" s="73"/>
      <c r="H26" s="73"/>
    </row>
    <row r="27" spans="1:8" s="4" customFormat="1">
      <c r="A27" s="155"/>
      <c r="D27" s="73"/>
      <c r="E27" s="79"/>
      <c r="F27" s="73"/>
      <c r="G27" s="73"/>
    </row>
    <row r="28" spans="1:8" s="4" customFormat="1">
      <c r="A28" s="155"/>
      <c r="D28" s="54"/>
      <c r="E28" s="79"/>
      <c r="F28" s="73"/>
      <c r="G28" s="73"/>
      <c r="H28" s="73"/>
    </row>
    <row r="29" spans="1:8" s="4" customFormat="1">
      <c r="A29" s="155"/>
      <c r="C29" s="236"/>
      <c r="D29" s="54"/>
      <c r="E29" s="79"/>
      <c r="F29" s="73"/>
      <c r="G29" s="73"/>
      <c r="H29" s="73"/>
    </row>
    <row r="30" spans="1:8" s="4" customFormat="1">
      <c r="A30" s="155"/>
      <c r="D30" s="54"/>
      <c r="E30" s="79"/>
      <c r="F30" s="73"/>
      <c r="G30" s="73"/>
      <c r="H30" s="73"/>
    </row>
    <row r="31" spans="1:8" s="4" customFormat="1">
      <c r="A31" s="155"/>
      <c r="D31" s="54"/>
      <c r="E31" s="79"/>
      <c r="F31" s="73"/>
      <c r="G31" s="73"/>
      <c r="H31" s="73"/>
    </row>
    <row r="32" spans="1:8" s="4" customFormat="1">
      <c r="A32" s="155"/>
      <c r="D32" s="54"/>
      <c r="E32" s="79"/>
      <c r="F32" s="73"/>
      <c r="G32" s="73"/>
      <c r="H32" s="73"/>
    </row>
    <row r="33" spans="1:8" s="4" customFormat="1">
      <c r="A33" s="155"/>
      <c r="D33" s="54"/>
      <c r="E33" s="79"/>
      <c r="F33" s="73"/>
      <c r="G33" s="73"/>
      <c r="H33" s="73"/>
    </row>
    <row r="34" spans="1:8" s="4" customFormat="1">
      <c r="A34" s="155"/>
      <c r="D34" s="54"/>
      <c r="E34" s="79"/>
      <c r="F34" s="73"/>
      <c r="G34" s="73"/>
      <c r="H34" s="73"/>
    </row>
    <row r="35" spans="1:8" s="4" customFormat="1">
      <c r="A35" s="155"/>
      <c r="D35" s="54"/>
      <c r="E35" s="79"/>
      <c r="F35" s="73"/>
      <c r="G35" s="73"/>
      <c r="H35" s="73"/>
    </row>
    <row r="36" spans="1:8" s="4" customFormat="1">
      <c r="A36" s="155"/>
      <c r="D36" s="73"/>
      <c r="E36" s="79"/>
      <c r="F36" s="73"/>
      <c r="G36" s="73"/>
      <c r="H36" s="73"/>
    </row>
    <row r="37" spans="1:8" s="4" customFormat="1">
      <c r="A37" s="155"/>
      <c r="D37" s="73"/>
      <c r="E37" s="79"/>
      <c r="F37" s="73"/>
      <c r="G37" s="73"/>
      <c r="H37" s="73"/>
    </row>
    <row r="38" spans="1:8" s="4" customFormat="1">
      <c r="A38" s="155"/>
      <c r="D38" s="73"/>
      <c r="E38" s="79"/>
      <c r="F38" s="73"/>
      <c r="G38" s="73"/>
      <c r="H38" s="163"/>
    </row>
    <row r="39" spans="1:8" s="4" customFormat="1">
      <c r="A39" s="239"/>
      <c r="B39" s="232"/>
      <c r="C39" s="232"/>
      <c r="D39" s="163"/>
      <c r="E39" s="240"/>
      <c r="F39" s="163"/>
      <c r="G39" s="163"/>
      <c r="H39" s="163"/>
    </row>
    <row r="40" spans="1:8" s="4" customFormat="1">
      <c r="A40" s="155"/>
      <c r="D40" s="73"/>
      <c r="E40" s="79"/>
      <c r="F40" s="73"/>
      <c r="G40" s="73"/>
      <c r="H40" s="73"/>
    </row>
    <row r="41" spans="1:8" s="4" customFormat="1">
      <c r="A41" s="155"/>
      <c r="D41" s="73"/>
      <c r="E41" s="79"/>
      <c r="F41" s="73"/>
      <c r="G41" s="73"/>
    </row>
    <row r="42" spans="1:8" s="4" customFormat="1">
      <c r="A42" s="155"/>
      <c r="D42" s="73"/>
      <c r="E42" s="79"/>
      <c r="F42" s="73"/>
      <c r="G42" s="73"/>
      <c r="H42" s="73"/>
    </row>
    <row r="43" spans="1:8" s="4" customFormat="1">
      <c r="A43" s="155"/>
      <c r="D43" s="73"/>
      <c r="E43" s="79"/>
      <c r="F43" s="73"/>
      <c r="G43" s="73"/>
    </row>
    <row r="44" spans="1:8" s="4" customFormat="1">
      <c r="A44" s="155"/>
      <c r="D44" s="73"/>
      <c r="E44" s="79"/>
      <c r="F44" s="73"/>
      <c r="G44" s="73"/>
    </row>
    <row r="45" spans="1:8" s="4" customFormat="1">
      <c r="A45" s="155"/>
      <c r="D45" s="73"/>
      <c r="E45" s="79"/>
      <c r="F45" s="73"/>
      <c r="G45" s="73"/>
    </row>
    <row r="46" spans="1:8" s="4" customFormat="1">
      <c r="A46" s="155"/>
      <c r="D46" s="73"/>
      <c r="E46" s="79"/>
      <c r="F46" s="73"/>
      <c r="G46" s="73"/>
    </row>
    <row r="47" spans="1:8" s="4" customFormat="1">
      <c r="A47" s="155"/>
      <c r="D47" s="73"/>
      <c r="E47" s="159"/>
      <c r="F47" s="73"/>
      <c r="G47" s="73"/>
      <c r="H47" s="73"/>
    </row>
    <row r="48" spans="1:8" s="4" customFormat="1">
      <c r="A48" s="155"/>
      <c r="D48" s="73"/>
      <c r="E48" s="79"/>
      <c r="F48" s="73"/>
      <c r="G48" s="73"/>
    </row>
    <row r="49" spans="1:8" s="4" customFormat="1">
      <c r="A49" s="155"/>
      <c r="D49" s="73"/>
      <c r="E49" s="79"/>
      <c r="F49" s="73"/>
      <c r="G49" s="73"/>
      <c r="H49" s="163"/>
    </row>
    <row r="50" spans="1:8" s="4" customFormat="1">
      <c r="A50" s="155"/>
      <c r="D50" s="73"/>
      <c r="E50" s="79"/>
      <c r="F50" s="73"/>
      <c r="G50" s="73"/>
    </row>
    <row r="51" spans="1:8" s="4" customFormat="1">
      <c r="A51" s="155"/>
      <c r="D51" s="73"/>
      <c r="E51" s="79"/>
      <c r="F51" s="73"/>
      <c r="G51" s="73"/>
      <c r="H51" s="73"/>
    </row>
    <row r="52" spans="1:8" s="4" customFormat="1">
      <c r="A52" s="155"/>
      <c r="D52" s="73"/>
      <c r="E52" s="79"/>
      <c r="F52" s="73"/>
      <c r="G52" s="73"/>
      <c r="H52" s="73"/>
    </row>
    <row r="53" spans="1:8" s="4" customFormat="1">
      <c r="A53" s="155"/>
      <c r="D53" s="73"/>
      <c r="E53" s="79"/>
      <c r="F53" s="73"/>
      <c r="G53" s="73"/>
      <c r="H53" s="73"/>
    </row>
    <row r="54" spans="1:8" s="4" customFormat="1">
      <c r="A54" s="155"/>
      <c r="D54" s="73"/>
      <c r="E54" s="79"/>
      <c r="F54" s="73"/>
      <c r="G54" s="73"/>
    </row>
    <row r="55" spans="1:8" s="4" customFormat="1">
      <c r="A55" s="155"/>
      <c r="D55" s="73"/>
      <c r="E55" s="79"/>
      <c r="F55" s="73"/>
      <c r="G55" s="73"/>
    </row>
    <row r="56" spans="1:8" s="4" customFormat="1">
      <c r="A56" s="155"/>
      <c r="D56" s="73"/>
      <c r="E56" s="79"/>
      <c r="F56" s="73"/>
      <c r="G56" s="73"/>
    </row>
    <row r="57" spans="1:8" s="4" customFormat="1">
      <c r="A57" s="155"/>
      <c r="D57" s="73"/>
      <c r="E57" s="79"/>
      <c r="F57" s="73"/>
      <c r="G57" s="73"/>
    </row>
    <row r="58" spans="1:8" s="4" customFormat="1">
      <c r="A58" s="155"/>
      <c r="D58" s="73"/>
      <c r="E58" s="79"/>
      <c r="F58" s="73"/>
      <c r="G58" s="73"/>
      <c r="H58" s="73"/>
    </row>
    <row r="59" spans="1:8" s="4" customFormat="1">
      <c r="A59" s="155"/>
      <c r="D59" s="73"/>
      <c r="E59" s="79"/>
      <c r="F59" s="73"/>
      <c r="G59" s="73"/>
      <c r="H59" s="73"/>
    </row>
    <row r="60" spans="1:8" s="4" customFormat="1">
      <c r="A60" s="155"/>
      <c r="D60" s="73"/>
      <c r="E60" s="79"/>
      <c r="F60" s="73"/>
      <c r="G60" s="73"/>
      <c r="H60" s="73"/>
    </row>
    <row r="61" spans="1:8" s="4" customFormat="1">
      <c r="A61" s="155"/>
      <c r="D61" s="73"/>
      <c r="E61" s="79"/>
      <c r="F61" s="73"/>
      <c r="G61" s="73"/>
      <c r="H61" s="73"/>
    </row>
    <row r="62" spans="1:8" s="4" customFormat="1">
      <c r="A62" s="155"/>
      <c r="D62" s="73"/>
      <c r="E62" s="79"/>
      <c r="F62" s="73"/>
      <c r="G62" s="73"/>
      <c r="H62" s="73"/>
    </row>
    <row r="63" spans="1:8" s="4" customFormat="1">
      <c r="A63" s="155"/>
      <c r="D63" s="73"/>
      <c r="E63" s="79"/>
      <c r="F63" s="73"/>
      <c r="G63" s="73"/>
      <c r="H63" s="73"/>
    </row>
    <row r="64" spans="1:8" s="4" customFormat="1">
      <c r="A64" s="155"/>
      <c r="D64" s="73"/>
      <c r="E64" s="79"/>
      <c r="F64" s="73"/>
      <c r="G64" s="73"/>
      <c r="H64" s="73"/>
    </row>
    <row r="65" spans="1:8" s="4" customFormat="1">
      <c r="A65" s="155"/>
      <c r="D65" s="73"/>
      <c r="E65" s="79"/>
      <c r="F65" s="73"/>
      <c r="G65" s="73"/>
      <c r="H65" s="73"/>
    </row>
    <row r="66" spans="1:8" s="4" customFormat="1">
      <c r="A66" s="155"/>
      <c r="D66" s="73"/>
      <c r="E66" s="79"/>
      <c r="F66" s="73"/>
      <c r="G66" s="73"/>
      <c r="H66" s="73"/>
    </row>
    <row r="67" spans="1:8" s="4" customFormat="1">
      <c r="A67" s="155"/>
      <c r="D67" s="73"/>
      <c r="E67" s="79"/>
      <c r="F67" s="73"/>
      <c r="G67" s="73"/>
      <c r="H67" s="73"/>
    </row>
    <row r="68" spans="1:8" s="4" customFormat="1">
      <c r="A68" s="155"/>
      <c r="D68" s="73"/>
      <c r="E68" s="79"/>
      <c r="F68" s="73"/>
      <c r="G68" s="73"/>
      <c r="H68" s="73"/>
    </row>
    <row r="69" spans="1:8" s="4" customFormat="1">
      <c r="A69" s="155"/>
      <c r="D69" s="73"/>
      <c r="E69" s="79"/>
      <c r="F69" s="73"/>
      <c r="G69" s="73"/>
      <c r="H69" s="73"/>
    </row>
    <row r="70" spans="1:8" s="4" customFormat="1">
      <c r="A70" s="155"/>
      <c r="D70" s="73"/>
      <c r="E70" s="79"/>
      <c r="F70" s="73"/>
      <c r="G70" s="73"/>
      <c r="H70" s="73"/>
    </row>
    <row r="71" spans="1:8" s="4" customFormat="1">
      <c r="A71" s="155"/>
      <c r="D71" s="73"/>
      <c r="E71" s="79"/>
      <c r="F71" s="73"/>
      <c r="G71" s="73"/>
      <c r="H71" s="73"/>
    </row>
    <row r="72" spans="1:8" s="4" customFormat="1">
      <c r="A72" s="155"/>
      <c r="D72" s="73"/>
      <c r="E72" s="79"/>
      <c r="F72" s="73"/>
      <c r="G72" s="73"/>
      <c r="H72" s="73"/>
    </row>
    <row r="73" spans="1:8" s="4" customFormat="1">
      <c r="A73" s="155"/>
      <c r="D73" s="73"/>
      <c r="E73" s="79"/>
      <c r="F73" s="73"/>
      <c r="G73" s="73"/>
      <c r="H73" s="73"/>
    </row>
    <row r="74" spans="1:8" s="4" customFormat="1">
      <c r="A74" s="155"/>
      <c r="D74" s="73"/>
      <c r="E74" s="79"/>
      <c r="F74" s="73"/>
      <c r="G74" s="73"/>
      <c r="H74" s="73"/>
    </row>
    <row r="75" spans="1:8" s="4" customFormat="1">
      <c r="A75" s="155"/>
      <c r="D75" s="73"/>
      <c r="E75" s="79"/>
      <c r="F75" s="73"/>
      <c r="G75" s="73"/>
      <c r="H75" s="73"/>
    </row>
    <row r="76" spans="1:8" s="4" customFormat="1">
      <c r="A76" s="155"/>
      <c r="D76" s="73"/>
      <c r="E76" s="79"/>
      <c r="F76" s="73"/>
      <c r="G76" s="73"/>
      <c r="H76" s="73"/>
    </row>
    <row r="77" spans="1:8" s="4" customFormat="1">
      <c r="A77" s="155"/>
      <c r="D77" s="73"/>
      <c r="E77" s="79"/>
      <c r="F77" s="73"/>
      <c r="G77" s="73"/>
      <c r="H77" s="73"/>
    </row>
    <row r="78" spans="1:8" s="4" customFormat="1">
      <c r="A78" s="155"/>
      <c r="D78" s="73"/>
      <c r="E78" s="79"/>
      <c r="F78" s="73"/>
      <c r="G78" s="73"/>
      <c r="H78" s="73"/>
    </row>
    <row r="79" spans="1:8" s="4" customFormat="1">
      <c r="A79" s="155"/>
      <c r="D79" s="73"/>
      <c r="E79" s="79"/>
      <c r="F79" s="73"/>
      <c r="G79" s="73"/>
      <c r="H79" s="73"/>
    </row>
    <row r="80" spans="1:8" s="4" customFormat="1">
      <c r="A80" s="155"/>
      <c r="D80" s="73"/>
      <c r="E80" s="79"/>
      <c r="F80" s="73"/>
      <c r="G80" s="73"/>
      <c r="H80" s="73"/>
    </row>
    <row r="81" spans="1:8" s="4" customFormat="1">
      <c r="A81" s="155"/>
      <c r="D81" s="73"/>
      <c r="E81" s="79"/>
      <c r="F81" s="73"/>
      <c r="G81" s="73"/>
      <c r="H81" s="73"/>
    </row>
    <row r="82" spans="1:8" s="4" customFormat="1">
      <c r="A82" s="155"/>
      <c r="D82" s="73"/>
      <c r="E82" s="79"/>
      <c r="F82" s="73"/>
      <c r="G82" s="73"/>
      <c r="H82" s="73"/>
    </row>
    <row r="83" spans="1:8" s="4" customFormat="1">
      <c r="A83" s="155"/>
      <c r="D83" s="73"/>
      <c r="E83" s="79"/>
      <c r="F83" s="73"/>
      <c r="G83" s="73"/>
      <c r="H83" s="73"/>
    </row>
    <row r="84" spans="1:8" s="4" customFormat="1">
      <c r="A84" s="155"/>
      <c r="D84" s="73"/>
      <c r="E84" s="79"/>
      <c r="F84" s="73"/>
      <c r="G84" s="73"/>
      <c r="H84" s="73"/>
    </row>
    <row r="85" spans="1:8" s="4" customFormat="1">
      <c r="A85" s="155"/>
      <c r="D85" s="73"/>
      <c r="E85" s="79"/>
      <c r="F85" s="73"/>
      <c r="G85" s="73"/>
      <c r="H85" s="73"/>
    </row>
    <row r="86" spans="1:8" s="4" customFormat="1">
      <c r="A86" s="155"/>
      <c r="D86" s="73"/>
      <c r="E86" s="79"/>
      <c r="F86" s="73"/>
      <c r="G86" s="73"/>
      <c r="H86" s="73"/>
    </row>
    <row r="87" spans="1:8" s="4" customFormat="1">
      <c r="A87" s="155"/>
      <c r="D87" s="73"/>
      <c r="E87" s="79"/>
      <c r="F87" s="73"/>
      <c r="G87" s="73"/>
    </row>
    <row r="88" spans="1:8" s="4" customFormat="1">
      <c r="A88" s="162"/>
      <c r="D88" s="73"/>
      <c r="E88" s="238"/>
      <c r="F88" s="73"/>
      <c r="G88" s="73"/>
    </row>
    <row r="89" spans="1:8" s="4" customFormat="1">
      <c r="A89" s="155"/>
      <c r="D89" s="73"/>
      <c r="E89" s="79"/>
      <c r="F89" s="73"/>
      <c r="G89" s="73"/>
    </row>
    <row r="90" spans="1:8" s="4" customFormat="1">
      <c r="A90" s="155"/>
      <c r="D90" s="73"/>
      <c r="E90" s="79"/>
      <c r="F90" s="73"/>
      <c r="G90" s="73"/>
      <c r="H90" s="73"/>
    </row>
    <row r="91" spans="1:8" s="4" customFormat="1">
      <c r="A91" s="155"/>
      <c r="D91" s="73"/>
      <c r="E91" s="79"/>
      <c r="F91" s="73"/>
      <c r="G91" s="73"/>
    </row>
    <row r="92" spans="1:8" s="4" customFormat="1">
      <c r="A92" s="155"/>
      <c r="D92" s="73"/>
      <c r="E92" s="79"/>
      <c r="F92" s="73"/>
      <c r="G92" s="73"/>
      <c r="H92" s="73"/>
    </row>
    <row r="93" spans="1:8" s="4" customFormat="1">
      <c r="A93" s="155"/>
      <c r="D93" s="73"/>
      <c r="E93" s="79"/>
      <c r="F93" s="73"/>
      <c r="G93" s="73"/>
    </row>
    <row r="94" spans="1:8" s="4" customFormat="1">
      <c r="A94" s="155"/>
      <c r="D94" s="73"/>
      <c r="E94" s="79"/>
      <c r="F94" s="73"/>
      <c r="G94" s="73"/>
    </row>
    <row r="95" spans="1:8" s="4" customFormat="1">
      <c r="A95" s="155"/>
      <c r="D95" s="73"/>
      <c r="E95" s="79"/>
      <c r="F95" s="73"/>
      <c r="G95" s="73"/>
    </row>
    <row r="96" spans="1:8" s="4" customFormat="1">
      <c r="A96" s="155"/>
      <c r="D96" s="73"/>
      <c r="E96" s="79"/>
      <c r="F96" s="73"/>
      <c r="G96" s="73"/>
      <c r="H96" s="73"/>
    </row>
    <row r="97" spans="1:8" s="4" customFormat="1">
      <c r="A97" s="155"/>
      <c r="D97" s="73"/>
      <c r="E97" s="79"/>
      <c r="F97" s="73"/>
      <c r="G97" s="73"/>
    </row>
    <row r="98" spans="1:8" s="4" customFormat="1">
      <c r="A98" s="155"/>
      <c r="D98" s="73"/>
      <c r="E98" s="79"/>
      <c r="F98" s="73"/>
      <c r="G98" s="161"/>
      <c r="H98" s="73"/>
    </row>
    <row r="99" spans="1:8" s="4" customFormat="1">
      <c r="A99" s="155"/>
      <c r="D99" s="73"/>
      <c r="E99" s="79"/>
      <c r="F99" s="73"/>
      <c r="G99" s="73"/>
    </row>
    <row r="100" spans="1:8" s="4" customFormat="1">
      <c r="A100" s="155"/>
      <c r="D100" s="73"/>
      <c r="E100" s="79"/>
      <c r="F100" s="73"/>
      <c r="G100" s="73"/>
      <c r="H100" s="73"/>
    </row>
    <row r="101" spans="1:8" s="4" customFormat="1">
      <c r="A101" s="155"/>
      <c r="D101" s="73"/>
      <c r="E101" s="79"/>
      <c r="F101" s="73"/>
      <c r="G101" s="73"/>
    </row>
    <row r="102" spans="1:8" s="4" customFormat="1">
      <c r="A102" s="155"/>
      <c r="D102" s="73"/>
      <c r="E102" s="79"/>
      <c r="F102" s="73"/>
      <c r="G102" s="73"/>
      <c r="H102" s="73"/>
    </row>
    <row r="103" spans="1:8" s="4" customFormat="1">
      <c r="A103" s="155"/>
      <c r="D103" s="73"/>
      <c r="E103" s="79"/>
      <c r="F103" s="73"/>
      <c r="G103" s="73"/>
    </row>
    <row r="104" spans="1:8" s="4" customFormat="1">
      <c r="A104" s="155"/>
      <c r="D104" s="73"/>
      <c r="E104" s="79"/>
      <c r="F104" s="73"/>
      <c r="G104" s="73"/>
    </row>
    <row r="105" spans="1:8" s="4" customFormat="1">
      <c r="A105" s="155"/>
      <c r="D105" s="73"/>
      <c r="E105" s="79"/>
      <c r="F105" s="73"/>
      <c r="G105" s="73"/>
    </row>
    <row r="106" spans="1:8" s="4" customFormat="1">
      <c r="A106" s="155"/>
      <c r="D106" s="73"/>
      <c r="E106" s="79"/>
      <c r="F106" s="73"/>
      <c r="G106" s="73"/>
    </row>
    <row r="107" spans="1:8" s="4" customFormat="1">
      <c r="A107" s="155"/>
      <c r="D107" s="73"/>
      <c r="E107" s="79"/>
      <c r="F107" s="73"/>
      <c r="G107" s="73"/>
    </row>
    <row r="108" spans="1:8" s="4" customFormat="1">
      <c r="A108" s="155"/>
      <c r="D108" s="73"/>
      <c r="E108" s="79"/>
      <c r="F108" s="73"/>
      <c r="G108" s="73"/>
      <c r="H108" s="73"/>
    </row>
    <row r="109" spans="1:8" s="4" customFormat="1">
      <c r="A109" s="155"/>
      <c r="D109" s="73"/>
      <c r="E109" s="79"/>
      <c r="F109" s="73"/>
      <c r="G109" s="73"/>
    </row>
    <row r="110" spans="1:8" s="4" customFormat="1">
      <c r="A110" s="155"/>
      <c r="D110" s="73"/>
      <c r="E110" s="79"/>
      <c r="F110" s="73"/>
      <c r="G110" s="73"/>
    </row>
    <row r="111" spans="1:8" s="4" customFormat="1">
      <c r="A111" s="155"/>
      <c r="D111" s="73"/>
      <c r="E111" s="79"/>
      <c r="F111" s="73"/>
      <c r="G111" s="73"/>
    </row>
    <row r="112" spans="1:8" s="4" customFormat="1">
      <c r="A112" s="155"/>
      <c r="D112" s="73"/>
      <c r="E112" s="79"/>
      <c r="F112" s="73"/>
      <c r="G112" s="73"/>
    </row>
    <row r="113" spans="1:8" s="4" customFormat="1">
      <c r="A113" s="155"/>
      <c r="D113" s="73"/>
      <c r="E113" s="79"/>
      <c r="F113" s="73"/>
      <c r="G113" s="73"/>
    </row>
    <row r="114" spans="1:8" s="4" customFormat="1">
      <c r="A114" s="155"/>
      <c r="D114" s="73"/>
      <c r="E114" s="79"/>
      <c r="F114" s="73"/>
      <c r="G114" s="73"/>
    </row>
    <row r="115" spans="1:8" s="4" customFormat="1">
      <c r="A115" s="155"/>
      <c r="D115" s="73"/>
      <c r="E115" s="79"/>
      <c r="F115" s="73"/>
      <c r="G115" s="73"/>
      <c r="H115" s="73"/>
    </row>
    <row r="116" spans="1:8" s="4" customFormat="1">
      <c r="A116" s="155"/>
      <c r="D116" s="73"/>
      <c r="E116" s="79"/>
      <c r="F116" s="73"/>
      <c r="G116" s="73"/>
    </row>
    <row r="117" spans="1:8" s="4" customFormat="1">
      <c r="A117" s="155"/>
      <c r="D117" s="73"/>
      <c r="E117" s="79"/>
      <c r="F117" s="73"/>
      <c r="G117" s="73"/>
    </row>
    <row r="118" spans="1:8" s="4" customFormat="1">
      <c r="A118" s="155"/>
      <c r="D118" s="73"/>
      <c r="E118" s="79"/>
      <c r="F118" s="73"/>
      <c r="G118" s="73"/>
      <c r="H118" s="73"/>
    </row>
    <row r="119" spans="1:8" s="4" customFormat="1">
      <c r="A119" s="155"/>
      <c r="D119" s="73"/>
      <c r="E119" s="79"/>
      <c r="F119" s="73"/>
      <c r="G119" s="73"/>
      <c r="H119" s="73"/>
    </row>
    <row r="120" spans="1:8" s="4" customFormat="1">
      <c r="A120" s="155"/>
      <c r="D120" s="73"/>
      <c r="E120" s="79"/>
      <c r="F120" s="73"/>
      <c r="G120" s="73"/>
    </row>
    <row r="121" spans="1:8" s="4" customFormat="1">
      <c r="A121" s="155"/>
      <c r="D121" s="73"/>
      <c r="E121" s="79"/>
      <c r="F121" s="73"/>
      <c r="G121" s="73"/>
      <c r="H121" s="73"/>
    </row>
    <row r="122" spans="1:8" s="4" customFormat="1">
      <c r="A122" s="155"/>
      <c r="D122" s="73"/>
      <c r="E122" s="79"/>
      <c r="F122" s="73"/>
      <c r="G122" s="73"/>
      <c r="H122" s="73"/>
    </row>
    <row r="123" spans="1:8" s="4" customFormat="1">
      <c r="A123" s="155"/>
      <c r="D123" s="73"/>
      <c r="E123" s="79"/>
      <c r="F123" s="73"/>
      <c r="G123" s="73"/>
      <c r="H123" s="73"/>
    </row>
    <row r="124" spans="1:8" s="4" customFormat="1">
      <c r="A124" s="155"/>
      <c r="D124" s="73"/>
      <c r="E124" s="79"/>
      <c r="F124" s="73"/>
      <c r="G124" s="73"/>
      <c r="H124" s="73"/>
    </row>
    <row r="125" spans="1:8" s="4" customFormat="1">
      <c r="A125" s="155"/>
      <c r="D125" s="73"/>
      <c r="E125" s="79"/>
      <c r="F125" s="73"/>
      <c r="G125" s="73"/>
    </row>
    <row r="126" spans="1:8" s="4" customFormat="1">
      <c r="A126" s="155"/>
      <c r="D126" s="73"/>
      <c r="E126" s="79"/>
      <c r="F126" s="73"/>
      <c r="G126" s="73"/>
      <c r="H126" s="73"/>
    </row>
    <row r="127" spans="1:8" s="4" customFormat="1">
      <c r="A127" s="155"/>
      <c r="D127" s="73"/>
      <c r="E127" s="79"/>
      <c r="F127" s="73"/>
      <c r="G127" s="73"/>
      <c r="H127" s="73"/>
    </row>
    <row r="128" spans="1:8" s="4" customFormat="1">
      <c r="A128" s="155"/>
      <c r="D128" s="73"/>
      <c r="E128" s="79"/>
      <c r="F128" s="73"/>
      <c r="G128" s="73"/>
    </row>
    <row r="129" spans="1:8" s="4" customFormat="1">
      <c r="A129" s="155"/>
      <c r="D129" s="73"/>
      <c r="E129" s="79"/>
      <c r="F129" s="73"/>
      <c r="G129" s="73"/>
    </row>
    <row r="130" spans="1:8" s="4" customFormat="1">
      <c r="A130" s="155"/>
      <c r="D130" s="73"/>
      <c r="E130" s="79"/>
      <c r="F130" s="73"/>
      <c r="G130" s="73"/>
    </row>
    <row r="131" spans="1:8" s="4" customFormat="1">
      <c r="A131" s="155"/>
      <c r="D131" s="73"/>
      <c r="E131" s="79"/>
      <c r="F131" s="73"/>
      <c r="G131" s="73"/>
    </row>
    <row r="132" spans="1:8" s="4" customFormat="1">
      <c r="A132" s="155"/>
      <c r="D132" s="73"/>
      <c r="E132" s="79"/>
      <c r="F132" s="73"/>
      <c r="G132" s="73"/>
    </row>
    <row r="133" spans="1:8" s="4" customFormat="1">
      <c r="A133" s="155"/>
      <c r="D133" s="73"/>
      <c r="E133" s="79"/>
      <c r="F133" s="73"/>
      <c r="G133" s="73"/>
    </row>
    <row r="134" spans="1:8" s="4" customFormat="1">
      <c r="A134" s="155"/>
      <c r="D134" s="73"/>
      <c r="E134" s="79"/>
      <c r="F134" s="73"/>
      <c r="G134" s="73"/>
    </row>
    <row r="135" spans="1:8" s="4" customFormat="1">
      <c r="A135" s="155"/>
      <c r="D135" s="73"/>
      <c r="E135" s="79"/>
      <c r="F135" s="73"/>
      <c r="G135" s="73"/>
    </row>
    <row r="136" spans="1:8" s="4" customFormat="1">
      <c r="A136" s="155"/>
      <c r="D136" s="73"/>
      <c r="E136" s="79"/>
      <c r="F136" s="73"/>
      <c r="G136" s="73"/>
    </row>
    <row r="137" spans="1:8" s="4" customFormat="1">
      <c r="A137" s="155"/>
      <c r="D137" s="73"/>
      <c r="E137" s="79"/>
      <c r="F137" s="73"/>
      <c r="G137" s="73"/>
    </row>
    <row r="138" spans="1:8" s="4" customFormat="1">
      <c r="A138" s="155"/>
      <c r="D138" s="73"/>
      <c r="E138" s="79"/>
      <c r="F138" s="73"/>
      <c r="G138" s="73"/>
      <c r="H138" s="73"/>
    </row>
    <row r="139" spans="1:8" s="4" customFormat="1">
      <c r="A139" s="155"/>
      <c r="D139" s="73"/>
      <c r="E139" s="79"/>
      <c r="F139" s="73"/>
      <c r="G139" s="73"/>
    </row>
    <row r="140" spans="1:8" s="4" customFormat="1">
      <c r="A140" s="155"/>
      <c r="D140" s="73"/>
      <c r="E140" s="79"/>
      <c r="F140" s="73"/>
      <c r="G140" s="73"/>
    </row>
    <row r="141" spans="1:8" s="4" customFormat="1">
      <c r="A141" s="155"/>
      <c r="D141" s="73"/>
      <c r="E141" s="79"/>
      <c r="F141" s="73"/>
      <c r="G141" s="73"/>
    </row>
    <row r="142" spans="1:8" s="4" customFormat="1">
      <c r="A142" s="155"/>
      <c r="D142" s="73"/>
      <c r="E142" s="79"/>
      <c r="F142" s="73"/>
      <c r="G142" s="73"/>
      <c r="H142" s="73"/>
    </row>
    <row r="143" spans="1:8" s="4" customFormat="1">
      <c r="A143" s="155"/>
      <c r="D143" s="73"/>
      <c r="E143" s="79"/>
      <c r="F143" s="73"/>
      <c r="G143" s="73"/>
      <c r="H143" s="73"/>
    </row>
    <row r="144" spans="1:8" s="4" customFormat="1">
      <c r="A144" s="155"/>
      <c r="D144" s="73"/>
      <c r="E144" s="79"/>
      <c r="F144" s="73"/>
      <c r="G144" s="73"/>
    </row>
    <row r="145" spans="1:7" s="4" customFormat="1">
      <c r="A145" s="155"/>
      <c r="D145" s="73"/>
      <c r="E145" s="79"/>
      <c r="F145" s="73"/>
      <c r="G145" s="73"/>
    </row>
    <row r="146" spans="1:7" s="4" customFormat="1">
      <c r="A146" s="155"/>
      <c r="D146" s="73"/>
      <c r="E146" s="79"/>
      <c r="F146" s="73"/>
      <c r="G146" s="73"/>
    </row>
    <row r="147" spans="1:7" s="4" customFormat="1">
      <c r="A147" s="155"/>
      <c r="D147" s="73"/>
      <c r="E147" s="79"/>
      <c r="F147" s="73"/>
      <c r="G147" s="73"/>
    </row>
    <row r="148" spans="1:7" s="4" customFormat="1">
      <c r="A148" s="155"/>
      <c r="D148" s="73"/>
      <c r="E148" s="79"/>
      <c r="F148" s="73"/>
      <c r="G148" s="73"/>
    </row>
    <row r="149" spans="1:7" s="4" customFormat="1">
      <c r="A149" s="155"/>
      <c r="D149" s="73"/>
      <c r="E149" s="79"/>
      <c r="F149" s="73"/>
      <c r="G149" s="73"/>
    </row>
    <row r="150" spans="1:7" s="4" customFormat="1">
      <c r="A150" s="155"/>
      <c r="D150" s="73"/>
      <c r="E150" s="79"/>
      <c r="F150" s="73"/>
      <c r="G150" s="73"/>
    </row>
    <row r="151" spans="1:7" s="4" customFormat="1">
      <c r="A151" s="155"/>
      <c r="D151" s="73"/>
      <c r="E151" s="79"/>
      <c r="F151" s="73"/>
      <c r="G151" s="73"/>
    </row>
    <row r="152" spans="1:7" s="4" customFormat="1">
      <c r="A152" s="155"/>
      <c r="D152" s="73"/>
      <c r="E152" s="79"/>
      <c r="F152" s="73"/>
      <c r="G152" s="73"/>
    </row>
    <row r="153" spans="1:7" s="4" customFormat="1">
      <c r="A153" s="155"/>
      <c r="D153" s="73"/>
      <c r="E153" s="79"/>
      <c r="F153" s="73"/>
      <c r="G153" s="73"/>
    </row>
    <row r="154" spans="1:7" s="4" customFormat="1">
      <c r="A154" s="155"/>
      <c r="D154" s="73"/>
      <c r="E154" s="79"/>
      <c r="F154" s="73"/>
      <c r="G154" s="73"/>
    </row>
    <row r="155" spans="1:7" s="4" customFormat="1">
      <c r="A155" s="155"/>
      <c r="D155" s="73"/>
      <c r="E155" s="79"/>
      <c r="F155" s="73"/>
      <c r="G155" s="73"/>
    </row>
    <row r="156" spans="1:7" s="4" customFormat="1">
      <c r="A156" s="155"/>
      <c r="D156" s="73"/>
      <c r="E156" s="79"/>
      <c r="F156" s="73"/>
      <c r="G156" s="73"/>
    </row>
    <row r="157" spans="1:7" s="4" customFormat="1">
      <c r="A157" s="155"/>
      <c r="D157" s="73"/>
      <c r="E157" s="79"/>
      <c r="F157" s="73"/>
      <c r="G157" s="73"/>
    </row>
    <row r="158" spans="1:7" s="4" customFormat="1">
      <c r="A158" s="155"/>
      <c r="D158" s="73"/>
      <c r="E158" s="79"/>
      <c r="F158" s="73"/>
      <c r="G158" s="73"/>
    </row>
    <row r="159" spans="1:7" s="4" customFormat="1">
      <c r="A159" s="155"/>
      <c r="D159" s="73"/>
      <c r="E159" s="79"/>
      <c r="F159" s="73"/>
      <c r="G159" s="73"/>
    </row>
    <row r="160" spans="1:7" s="4" customFormat="1">
      <c r="A160" s="155"/>
      <c r="D160" s="73"/>
      <c r="E160" s="79"/>
      <c r="F160" s="73"/>
      <c r="G160" s="73"/>
    </row>
    <row r="161" spans="1:7" s="4" customFormat="1">
      <c r="A161" s="155"/>
      <c r="D161" s="73"/>
      <c r="E161" s="79"/>
      <c r="F161" s="73"/>
      <c r="G161" s="73"/>
    </row>
    <row r="162" spans="1:7" s="4" customFormat="1">
      <c r="A162" s="155"/>
      <c r="D162" s="73"/>
      <c r="E162" s="79"/>
      <c r="F162" s="73"/>
      <c r="G162" s="73"/>
    </row>
    <row r="163" spans="1:7" s="4" customFormat="1">
      <c r="A163" s="155"/>
      <c r="D163" s="73"/>
      <c r="E163" s="79"/>
      <c r="F163" s="73"/>
      <c r="G163" s="73"/>
    </row>
    <row r="164" spans="1:7" s="4" customFormat="1">
      <c r="A164" s="155"/>
      <c r="D164" s="73"/>
      <c r="E164" s="79"/>
      <c r="F164" s="73"/>
      <c r="G164" s="73"/>
    </row>
    <row r="165" spans="1:7" s="4" customFormat="1">
      <c r="A165" s="155"/>
      <c r="D165" s="73"/>
      <c r="E165" s="79"/>
      <c r="F165" s="73"/>
      <c r="G165" s="73"/>
    </row>
    <row r="166" spans="1:7" s="4" customFormat="1">
      <c r="A166" s="155"/>
      <c r="C166" s="5"/>
      <c r="D166" s="73"/>
      <c r="E166" s="79"/>
      <c r="F166" s="73"/>
      <c r="G166" s="73"/>
    </row>
    <row r="167" spans="1:7" s="4" customFormat="1">
      <c r="A167" s="155"/>
      <c r="D167" s="73"/>
      <c r="E167" s="79"/>
      <c r="F167" s="73"/>
      <c r="G167" s="73"/>
    </row>
    <row r="168" spans="1:7" s="4" customFormat="1">
      <c r="A168" s="155"/>
      <c r="D168" s="73"/>
      <c r="E168" s="79"/>
      <c r="F168" s="73"/>
      <c r="G168" s="73"/>
    </row>
    <row r="169" spans="1:7" s="4" customFormat="1">
      <c r="A169" s="155"/>
      <c r="D169" s="73"/>
      <c r="E169" s="79"/>
      <c r="F169" s="73"/>
      <c r="G169" s="73"/>
    </row>
    <row r="170" spans="1:7" s="4" customFormat="1">
      <c r="A170" s="155"/>
      <c r="D170" s="73"/>
      <c r="E170" s="79"/>
      <c r="F170" s="73"/>
      <c r="G170" s="73"/>
    </row>
    <row r="171" spans="1:7" s="4" customFormat="1">
      <c r="A171" s="155"/>
      <c r="D171" s="73"/>
      <c r="E171" s="79"/>
      <c r="F171" s="73"/>
      <c r="G171" s="73"/>
    </row>
    <row r="172" spans="1:7" s="4" customFormat="1">
      <c r="A172" s="155"/>
      <c r="D172" s="73"/>
      <c r="E172" s="46"/>
      <c r="F172" s="73"/>
      <c r="G172" s="73"/>
    </row>
    <row r="173" spans="1:7" s="4" customFormat="1">
      <c r="A173" s="155"/>
      <c r="D173" s="73"/>
      <c r="E173" s="46"/>
      <c r="F173" s="73"/>
      <c r="G173" s="73"/>
    </row>
    <row r="174" spans="1:7" s="4" customFormat="1">
      <c r="A174" s="155"/>
      <c r="D174" s="73"/>
      <c r="E174" s="79"/>
      <c r="F174" s="73"/>
      <c r="G174" s="73"/>
    </row>
    <row r="175" spans="1:7" s="4" customFormat="1">
      <c r="A175" s="155"/>
      <c r="D175" s="73"/>
      <c r="E175" s="79"/>
      <c r="F175" s="73"/>
      <c r="G175" s="73"/>
    </row>
    <row r="176" spans="1:7" s="4" customFormat="1">
      <c r="A176" s="155"/>
      <c r="C176" s="5"/>
      <c r="D176" s="73"/>
      <c r="E176" s="79"/>
      <c r="F176" s="73"/>
      <c r="G176" s="73"/>
    </row>
    <row r="177" spans="1:7" s="4" customFormat="1">
      <c r="A177" s="155"/>
      <c r="D177" s="73"/>
      <c r="E177" s="79"/>
      <c r="F177" s="73"/>
      <c r="G177" s="73"/>
    </row>
    <row r="178" spans="1:7" s="4" customFormat="1">
      <c r="A178" s="155"/>
      <c r="D178" s="73"/>
      <c r="E178" s="79"/>
      <c r="F178" s="73"/>
      <c r="G178" s="73"/>
    </row>
    <row r="179" spans="1:7" s="4" customFormat="1">
      <c r="A179" s="155"/>
      <c r="D179" s="73"/>
      <c r="E179" s="79"/>
      <c r="F179" s="73"/>
      <c r="G179" s="73"/>
    </row>
    <row r="180" spans="1:7" s="4" customFormat="1">
      <c r="A180" s="155"/>
      <c r="D180" s="73"/>
      <c r="E180" s="79"/>
      <c r="F180" s="73"/>
      <c r="G180" s="73"/>
    </row>
    <row r="181" spans="1:7" s="4" customFormat="1">
      <c r="A181" s="155"/>
      <c r="D181" s="73"/>
      <c r="E181" s="79"/>
      <c r="F181" s="73"/>
      <c r="G181" s="73"/>
    </row>
    <row r="182" spans="1:7" s="4" customFormat="1">
      <c r="A182" s="155"/>
      <c r="D182" s="73"/>
      <c r="E182" s="46"/>
      <c r="F182" s="73"/>
      <c r="G182" s="73"/>
    </row>
    <row r="183" spans="1:7" s="4" customFormat="1">
      <c r="A183" s="155"/>
      <c r="D183" s="73"/>
      <c r="E183" s="79"/>
      <c r="F183" s="73"/>
      <c r="G183" s="73"/>
    </row>
    <row r="184" spans="1:7" s="4" customFormat="1">
      <c r="A184" s="155"/>
      <c r="D184" s="73"/>
      <c r="E184" s="79"/>
      <c r="F184" s="73"/>
      <c r="G184" s="73"/>
    </row>
    <row r="185" spans="1:7" s="4" customFormat="1">
      <c r="A185" s="155"/>
      <c r="D185" s="73"/>
      <c r="E185" s="79"/>
      <c r="F185" s="73"/>
      <c r="G185" s="73"/>
    </row>
    <row r="186" spans="1:7" s="4" customFormat="1">
      <c r="A186" s="155"/>
      <c r="D186" s="73"/>
      <c r="E186" s="79"/>
      <c r="F186" s="73"/>
      <c r="G186" s="73"/>
    </row>
    <row r="187" spans="1:7" s="4" customFormat="1">
      <c r="A187" s="155"/>
      <c r="D187" s="73"/>
      <c r="E187" s="79"/>
      <c r="F187" s="73"/>
      <c r="G187" s="73"/>
    </row>
    <row r="188" spans="1:7" s="4" customFormat="1">
      <c r="A188" s="155"/>
      <c r="D188" s="73"/>
      <c r="E188" s="79"/>
      <c r="F188" s="73"/>
      <c r="G188" s="73"/>
    </row>
    <row r="189" spans="1:7" s="4" customFormat="1">
      <c r="A189" s="155"/>
      <c r="D189" s="73"/>
      <c r="E189" s="79"/>
      <c r="F189" s="73"/>
      <c r="G189" s="73"/>
    </row>
    <row r="190" spans="1:7" s="4" customFormat="1">
      <c r="A190" s="155"/>
      <c r="D190" s="73"/>
      <c r="E190" s="79"/>
      <c r="F190" s="73"/>
      <c r="G190" s="73"/>
    </row>
    <row r="191" spans="1:7" s="4" customFormat="1">
      <c r="A191" s="155"/>
      <c r="D191" s="73"/>
      <c r="E191" s="79"/>
      <c r="F191" s="73"/>
      <c r="G191" s="73"/>
    </row>
    <row r="192" spans="1:7" s="4" customFormat="1">
      <c r="A192" s="155"/>
      <c r="D192" s="73"/>
      <c r="E192" s="46"/>
      <c r="F192" s="73"/>
      <c r="G192" s="73"/>
    </row>
    <row r="193" spans="1:7" s="4" customFormat="1">
      <c r="A193" s="155"/>
      <c r="D193" s="73"/>
      <c r="E193" s="46"/>
      <c r="F193" s="73"/>
      <c r="G193" s="73"/>
    </row>
    <row r="194" spans="1:7" s="4" customFormat="1">
      <c r="A194" s="155"/>
      <c r="D194" s="73"/>
      <c r="E194" s="46"/>
      <c r="F194" s="73"/>
      <c r="G194" s="73"/>
    </row>
    <row r="195" spans="1:7" s="4" customFormat="1">
      <c r="A195" s="155"/>
      <c r="D195" s="73"/>
      <c r="E195" s="46"/>
      <c r="F195" s="73"/>
      <c r="G195" s="73"/>
    </row>
    <row r="196" spans="1:7" s="4" customFormat="1">
      <c r="A196" s="155"/>
      <c r="D196" s="73"/>
      <c r="E196" s="46"/>
      <c r="F196" s="73"/>
      <c r="G196" s="73"/>
    </row>
    <row r="197" spans="1:7" s="4" customFormat="1">
      <c r="A197" s="155"/>
      <c r="D197" s="73"/>
      <c r="E197" s="79"/>
      <c r="F197" s="73"/>
      <c r="G197" s="73"/>
    </row>
    <row r="198" spans="1:7" s="4" customFormat="1">
      <c r="A198" s="155"/>
      <c r="D198" s="73"/>
      <c r="E198" s="46"/>
      <c r="F198" s="73"/>
      <c r="G198" s="73"/>
    </row>
    <row r="199" spans="1:7" s="4" customFormat="1">
      <c r="A199" s="155"/>
      <c r="D199" s="73"/>
      <c r="E199" s="79"/>
      <c r="F199" s="73"/>
      <c r="G199" s="73"/>
    </row>
    <row r="200" spans="1:7" s="4" customFormat="1">
      <c r="A200" s="155"/>
      <c r="D200" s="73"/>
      <c r="E200" s="46"/>
      <c r="F200" s="73"/>
      <c r="G200" s="73"/>
    </row>
    <row r="201" spans="1:7" s="4" customFormat="1">
      <c r="A201" s="155"/>
      <c r="D201" s="73"/>
      <c r="E201" s="46"/>
      <c r="F201" s="73"/>
      <c r="G201" s="73"/>
    </row>
    <row r="202" spans="1:7" s="4" customFormat="1">
      <c r="A202" s="155"/>
      <c r="D202" s="73"/>
      <c r="E202" s="46"/>
      <c r="F202" s="73"/>
      <c r="G202" s="73"/>
    </row>
    <row r="203" spans="1:7" s="4" customFormat="1">
      <c r="A203" s="155"/>
      <c r="D203" s="73"/>
      <c r="E203" s="46"/>
      <c r="F203" s="73"/>
      <c r="G203" s="73"/>
    </row>
    <row r="204" spans="1:7" s="4" customFormat="1">
      <c r="A204" s="155"/>
      <c r="D204" s="73"/>
      <c r="E204" s="46"/>
      <c r="F204" s="73"/>
      <c r="G204" s="73"/>
    </row>
    <row r="205" spans="1:7" s="4" customFormat="1">
      <c r="A205" s="155"/>
      <c r="D205" s="73"/>
      <c r="E205" s="46"/>
      <c r="F205" s="73"/>
      <c r="G205" s="73"/>
    </row>
    <row r="206" spans="1:7" s="4" customFormat="1">
      <c r="A206" s="155"/>
      <c r="D206" s="73"/>
      <c r="E206" s="46"/>
      <c r="F206" s="73"/>
      <c r="G206" s="73"/>
    </row>
    <row r="207" spans="1:7" s="4" customFormat="1">
      <c r="A207" s="155"/>
      <c r="D207" s="73"/>
      <c r="E207" s="46"/>
      <c r="F207" s="73"/>
      <c r="G207" s="73"/>
    </row>
    <row r="208" spans="1:7" s="4" customFormat="1">
      <c r="A208" s="155"/>
      <c r="D208" s="73"/>
      <c r="E208" s="46"/>
      <c r="F208" s="73"/>
      <c r="G208" s="73"/>
    </row>
    <row r="209" spans="1:7" s="4" customFormat="1">
      <c r="A209" s="155"/>
      <c r="D209" s="73"/>
      <c r="E209" s="46"/>
      <c r="F209" s="73"/>
      <c r="G209" s="73"/>
    </row>
    <row r="210" spans="1:7" s="4" customFormat="1">
      <c r="A210" s="155"/>
      <c r="D210" s="73"/>
      <c r="E210" s="46"/>
      <c r="F210" s="73"/>
      <c r="G210" s="73"/>
    </row>
    <row r="211" spans="1:7" s="4" customFormat="1">
      <c r="A211" s="155"/>
      <c r="D211" s="73"/>
      <c r="E211" s="46"/>
      <c r="F211" s="73"/>
      <c r="G211" s="73"/>
    </row>
    <row r="212" spans="1:7" s="4" customFormat="1">
      <c r="A212" s="155"/>
      <c r="D212" s="73"/>
      <c r="E212" s="46"/>
      <c r="F212" s="73"/>
      <c r="G212" s="73"/>
    </row>
    <row r="213" spans="1:7" s="4" customFormat="1">
      <c r="A213" s="155"/>
      <c r="D213" s="73"/>
      <c r="E213" s="46"/>
      <c r="F213" s="73"/>
      <c r="G213" s="73"/>
    </row>
    <row r="214" spans="1:7" s="4" customFormat="1">
      <c r="A214" s="155"/>
      <c r="D214" s="73"/>
      <c r="E214" s="46"/>
      <c r="F214" s="73"/>
      <c r="G214" s="73"/>
    </row>
    <row r="215" spans="1:7" s="4" customFormat="1">
      <c r="A215" s="155"/>
      <c r="D215" s="73"/>
      <c r="E215" s="79"/>
      <c r="F215" s="73"/>
      <c r="G215" s="73"/>
    </row>
    <row r="216" spans="1:7" s="4" customFormat="1">
      <c r="A216" s="155"/>
      <c r="D216" s="73"/>
      <c r="E216" s="46"/>
      <c r="F216" s="73"/>
      <c r="G216" s="73"/>
    </row>
    <row r="217" spans="1:7" s="4" customFormat="1">
      <c r="A217" s="155"/>
      <c r="D217" s="73"/>
      <c r="E217" s="46"/>
      <c r="F217" s="73"/>
      <c r="G217" s="73"/>
    </row>
    <row r="218" spans="1:7" s="4" customFormat="1">
      <c r="A218" s="155"/>
      <c r="D218" s="73"/>
      <c r="E218" s="46"/>
      <c r="F218" s="73"/>
      <c r="G218" s="73"/>
    </row>
    <row r="219" spans="1:7" s="4" customFormat="1">
      <c r="A219" s="155"/>
      <c r="D219" s="73"/>
      <c r="E219" s="46"/>
      <c r="F219" s="73"/>
      <c r="G219" s="73"/>
    </row>
    <row r="220" spans="1:7" s="4" customFormat="1">
      <c r="A220" s="155"/>
      <c r="D220" s="73"/>
      <c r="E220" s="46"/>
      <c r="F220" s="73"/>
      <c r="G220" s="73"/>
    </row>
    <row r="221" spans="1:7" s="4" customFormat="1">
      <c r="A221" s="155"/>
      <c r="D221" s="73"/>
      <c r="E221" s="79"/>
      <c r="F221" s="73"/>
      <c r="G221" s="73"/>
    </row>
    <row r="222" spans="1:7" s="4" customFormat="1">
      <c r="A222" s="155"/>
      <c r="D222" s="73"/>
      <c r="E222" s="46"/>
      <c r="F222" s="73"/>
      <c r="G222" s="73"/>
    </row>
    <row r="223" spans="1:7" s="4" customFormat="1">
      <c r="A223" s="155"/>
      <c r="D223" s="73"/>
      <c r="E223" s="46"/>
      <c r="F223" s="73"/>
      <c r="G223" s="73"/>
    </row>
    <row r="224" spans="1:7" s="4" customFormat="1">
      <c r="A224" s="155"/>
      <c r="D224" s="73"/>
      <c r="E224" s="46"/>
      <c r="F224" s="73"/>
      <c r="G224" s="73"/>
    </row>
    <row r="225" spans="1:7" s="4" customFormat="1">
      <c r="A225" s="155"/>
      <c r="D225" s="73"/>
      <c r="E225" s="46"/>
      <c r="F225" s="73"/>
      <c r="G225" s="73"/>
    </row>
    <row r="226" spans="1:7" s="4" customFormat="1">
      <c r="A226" s="155"/>
      <c r="D226" s="73"/>
      <c r="E226" s="46"/>
      <c r="F226" s="73"/>
      <c r="G226" s="73"/>
    </row>
    <row r="227" spans="1:7" s="4" customFormat="1">
      <c r="A227" s="155"/>
      <c r="D227" s="73"/>
      <c r="E227" s="46"/>
      <c r="F227" s="73"/>
      <c r="G227" s="73"/>
    </row>
    <row r="228" spans="1:7" s="4" customFormat="1">
      <c r="A228" s="155"/>
      <c r="D228" s="73"/>
      <c r="E228" s="46"/>
      <c r="F228" s="73"/>
      <c r="G228" s="73"/>
    </row>
    <row r="229" spans="1:7" s="4" customFormat="1">
      <c r="A229" s="155"/>
      <c r="D229" s="73"/>
      <c r="E229" s="46"/>
      <c r="F229" s="73"/>
      <c r="G229" s="73"/>
    </row>
    <row r="230" spans="1:7" s="4" customFormat="1">
      <c r="A230" s="155"/>
      <c r="D230" s="73"/>
      <c r="E230" s="46"/>
      <c r="F230" s="73"/>
      <c r="G230" s="73"/>
    </row>
    <row r="231" spans="1:7" s="4" customFormat="1">
      <c r="A231" s="155"/>
      <c r="D231" s="73"/>
      <c r="E231" s="46"/>
      <c r="F231" s="73"/>
      <c r="G231" s="73"/>
    </row>
    <row r="232" spans="1:7" s="4" customFormat="1">
      <c r="A232" s="155"/>
      <c r="D232" s="73"/>
      <c r="E232" s="46"/>
      <c r="F232" s="73"/>
      <c r="G232" s="73"/>
    </row>
    <row r="233" spans="1:7" s="4" customFormat="1">
      <c r="A233" s="155"/>
      <c r="D233" s="73"/>
      <c r="E233" s="46"/>
      <c r="F233" s="73"/>
      <c r="G233" s="73"/>
    </row>
    <row r="234" spans="1:7" s="4" customFormat="1">
      <c r="A234" s="155"/>
      <c r="D234" s="73"/>
      <c r="E234" s="46"/>
      <c r="F234" s="73"/>
      <c r="G234" s="73"/>
    </row>
    <row r="235" spans="1:7" s="4" customFormat="1">
      <c r="A235" s="155"/>
      <c r="D235" s="73"/>
      <c r="E235" s="46"/>
      <c r="F235" s="73"/>
      <c r="G235" s="73"/>
    </row>
    <row r="236" spans="1:7" s="4" customFormat="1">
      <c r="A236" s="155"/>
      <c r="D236" s="73"/>
      <c r="E236" s="46"/>
      <c r="F236" s="73"/>
      <c r="G236" s="73"/>
    </row>
    <row r="237" spans="1:7" s="4" customFormat="1">
      <c r="A237" s="155"/>
      <c r="D237" s="73"/>
      <c r="E237" s="46"/>
      <c r="F237" s="73"/>
      <c r="G237" s="73"/>
    </row>
    <row r="238" spans="1:7" s="4" customFormat="1">
      <c r="A238" s="155"/>
      <c r="D238" s="73"/>
      <c r="E238" s="46"/>
      <c r="F238" s="73"/>
      <c r="G238" s="73"/>
    </row>
    <row r="239" spans="1:7" s="4" customFormat="1">
      <c r="A239" s="155"/>
      <c r="D239" s="73"/>
      <c r="E239" s="46"/>
      <c r="F239" s="73"/>
      <c r="G239" s="73"/>
    </row>
    <row r="240" spans="1:7" s="4" customFormat="1">
      <c r="A240" s="155"/>
      <c r="D240" s="73"/>
      <c r="E240" s="46"/>
      <c r="F240" s="73"/>
      <c r="G240" s="73"/>
    </row>
    <row r="241" spans="1:7" s="4" customFormat="1">
      <c r="A241" s="155"/>
      <c r="D241" s="73"/>
      <c r="E241" s="46"/>
      <c r="F241" s="73"/>
      <c r="G241" s="73"/>
    </row>
    <row r="242" spans="1:7" s="4" customFormat="1">
      <c r="A242" s="155"/>
      <c r="D242" s="73"/>
      <c r="E242" s="46"/>
      <c r="F242" s="73"/>
      <c r="G242" s="73"/>
    </row>
    <row r="243" spans="1:7" s="4" customFormat="1">
      <c r="A243" s="155"/>
      <c r="D243" s="73"/>
      <c r="E243" s="46"/>
      <c r="F243" s="73"/>
      <c r="G243" s="73"/>
    </row>
    <row r="244" spans="1:7" s="4" customFormat="1">
      <c r="A244" s="155"/>
      <c r="D244" s="73"/>
      <c r="E244" s="46"/>
      <c r="F244" s="73"/>
      <c r="G244" s="73"/>
    </row>
    <row r="245" spans="1:7" s="4" customFormat="1">
      <c r="A245" s="155"/>
      <c r="D245" s="73"/>
      <c r="E245" s="46"/>
      <c r="F245" s="73"/>
      <c r="G245" s="73"/>
    </row>
    <row r="246" spans="1:7" s="4" customFormat="1">
      <c r="A246" s="155"/>
      <c r="D246" s="73"/>
      <c r="E246" s="46"/>
      <c r="F246" s="73"/>
      <c r="G246" s="73"/>
    </row>
    <row r="247" spans="1:7" s="4" customFormat="1">
      <c r="A247" s="155"/>
      <c r="D247" s="73"/>
      <c r="E247" s="46"/>
      <c r="F247" s="73"/>
      <c r="G247" s="73"/>
    </row>
    <row r="248" spans="1:7" s="4" customFormat="1">
      <c r="A248" s="155"/>
      <c r="D248" s="73"/>
      <c r="E248" s="46"/>
      <c r="F248" s="73"/>
      <c r="G248" s="73"/>
    </row>
    <row r="249" spans="1:7" s="4" customFormat="1">
      <c r="A249" s="155"/>
      <c r="D249" s="73"/>
      <c r="E249" s="46"/>
      <c r="F249" s="73"/>
      <c r="G249" s="73"/>
    </row>
    <row r="250" spans="1:7" s="4" customFormat="1">
      <c r="A250" s="155"/>
      <c r="D250" s="73"/>
      <c r="E250" s="46"/>
      <c r="F250" s="73"/>
      <c r="G250" s="73"/>
    </row>
    <row r="251" spans="1:7" s="4" customFormat="1">
      <c r="A251" s="155"/>
      <c r="D251" s="73"/>
      <c r="E251" s="46"/>
      <c r="F251" s="73"/>
      <c r="G251" s="73"/>
    </row>
    <row r="252" spans="1:7" s="4" customFormat="1">
      <c r="A252" s="155"/>
      <c r="D252" s="73"/>
      <c r="E252" s="46"/>
      <c r="F252" s="73"/>
      <c r="G252" s="73"/>
    </row>
    <row r="253" spans="1:7" s="4" customFormat="1">
      <c r="A253" s="155"/>
      <c r="D253" s="73"/>
      <c r="E253" s="46"/>
      <c r="F253" s="73"/>
      <c r="G253" s="73"/>
    </row>
    <row r="254" spans="1:7" s="4" customFormat="1">
      <c r="A254" s="155"/>
      <c r="D254" s="73"/>
      <c r="E254" s="46"/>
      <c r="F254" s="73"/>
      <c r="G254" s="73"/>
    </row>
    <row r="255" spans="1:7" s="4" customFormat="1">
      <c r="A255" s="155"/>
      <c r="D255" s="73"/>
      <c r="E255" s="46"/>
      <c r="F255" s="73"/>
      <c r="G255" s="73"/>
    </row>
    <row r="256" spans="1:7" s="4" customFormat="1">
      <c r="A256" s="155"/>
      <c r="D256" s="73"/>
      <c r="E256" s="46"/>
      <c r="F256" s="73"/>
      <c r="G256" s="73"/>
    </row>
    <row r="257" spans="1:7" s="4" customFormat="1">
      <c r="A257" s="155"/>
      <c r="D257" s="73"/>
      <c r="E257" s="46"/>
      <c r="F257" s="73"/>
      <c r="G257" s="73"/>
    </row>
    <row r="258" spans="1:7" s="4" customFormat="1">
      <c r="A258" s="155"/>
      <c r="D258" s="73"/>
      <c r="E258" s="46"/>
      <c r="F258" s="73"/>
      <c r="G258" s="73"/>
    </row>
    <row r="259" spans="1:7" s="4" customFormat="1">
      <c r="A259" s="155"/>
      <c r="D259" s="73"/>
      <c r="E259" s="46"/>
      <c r="F259" s="73"/>
      <c r="G259" s="73"/>
    </row>
    <row r="260" spans="1:7" s="4" customFormat="1">
      <c r="A260" s="155"/>
      <c r="D260" s="73"/>
      <c r="E260" s="46"/>
      <c r="F260" s="73"/>
      <c r="G260" s="73"/>
    </row>
    <row r="261" spans="1:7" s="4" customFormat="1">
      <c r="A261" s="155"/>
      <c r="D261" s="73"/>
      <c r="E261" s="46"/>
      <c r="F261" s="73"/>
      <c r="G261" s="73"/>
    </row>
    <row r="262" spans="1:7" s="4" customFormat="1">
      <c r="A262" s="155"/>
      <c r="D262" s="73"/>
      <c r="E262" s="46"/>
      <c r="F262" s="73"/>
      <c r="G262" s="73"/>
    </row>
    <row r="263" spans="1:7" s="4" customFormat="1">
      <c r="A263" s="155"/>
      <c r="D263" s="73"/>
      <c r="E263" s="46"/>
      <c r="F263" s="73"/>
      <c r="G263" s="73"/>
    </row>
    <row r="264" spans="1:7" s="4" customFormat="1">
      <c r="A264" s="155"/>
      <c r="D264" s="73"/>
      <c r="E264" s="46"/>
      <c r="F264" s="73"/>
      <c r="G264" s="73"/>
    </row>
    <row r="265" spans="1:7" s="4" customFormat="1">
      <c r="A265" s="155"/>
      <c r="D265" s="73"/>
      <c r="E265" s="46"/>
      <c r="F265" s="73"/>
      <c r="G265" s="73"/>
    </row>
    <row r="266" spans="1:7" s="4" customFormat="1">
      <c r="A266" s="155"/>
      <c r="D266" s="73"/>
      <c r="E266" s="46"/>
      <c r="F266" s="73"/>
      <c r="G266" s="73"/>
    </row>
    <row r="267" spans="1:7" s="4" customFormat="1">
      <c r="A267" s="155"/>
      <c r="D267" s="73"/>
      <c r="E267" s="46"/>
      <c r="F267" s="73"/>
      <c r="G267" s="73"/>
    </row>
    <row r="268" spans="1:7" s="4" customFormat="1">
      <c r="A268" s="155"/>
      <c r="D268" s="73"/>
      <c r="E268" s="46"/>
      <c r="F268" s="73"/>
      <c r="G268" s="73"/>
    </row>
    <row r="269" spans="1:7" s="4" customFormat="1">
      <c r="A269" s="155"/>
      <c r="D269" s="73"/>
      <c r="E269" s="46"/>
      <c r="F269" s="73"/>
      <c r="G269" s="73"/>
    </row>
    <row r="270" spans="1:7" s="4" customFormat="1">
      <c r="A270" s="155"/>
      <c r="D270" s="73"/>
      <c r="E270" s="46"/>
      <c r="F270" s="73"/>
      <c r="G270" s="73"/>
    </row>
    <row r="271" spans="1:7" s="4" customFormat="1">
      <c r="A271" s="155"/>
      <c r="D271" s="73"/>
      <c r="E271" s="46"/>
      <c r="F271" s="73"/>
      <c r="G271" s="73"/>
    </row>
    <row r="272" spans="1:7" s="4" customFormat="1">
      <c r="A272" s="155"/>
      <c r="D272" s="73"/>
      <c r="E272" s="46"/>
      <c r="F272" s="73"/>
      <c r="G272" s="73"/>
    </row>
    <row r="273" spans="1:7" s="4" customFormat="1">
      <c r="A273" s="155"/>
      <c r="D273" s="73"/>
      <c r="E273" s="46"/>
      <c r="F273" s="73"/>
      <c r="G273" s="73"/>
    </row>
    <row r="274" spans="1:7" s="4" customFormat="1">
      <c r="A274" s="155"/>
      <c r="D274" s="73"/>
      <c r="E274" s="46"/>
      <c r="F274" s="73"/>
      <c r="G274" s="73"/>
    </row>
    <row r="275" spans="1:7" s="4" customFormat="1">
      <c r="A275" s="155"/>
      <c r="D275" s="73"/>
      <c r="E275" s="46"/>
      <c r="F275" s="73"/>
      <c r="G275" s="73"/>
    </row>
    <row r="276" spans="1:7" s="4" customFormat="1">
      <c r="A276" s="155"/>
      <c r="D276" s="73"/>
      <c r="E276" s="46"/>
      <c r="F276" s="73"/>
      <c r="G276" s="73"/>
    </row>
    <row r="277" spans="1:7" s="4" customFormat="1">
      <c r="A277" s="155"/>
      <c r="D277" s="73"/>
      <c r="E277" s="46"/>
      <c r="F277" s="73"/>
      <c r="G277" s="73"/>
    </row>
    <row r="278" spans="1:7" s="4" customFormat="1">
      <c r="A278" s="155"/>
      <c r="D278" s="73"/>
      <c r="E278" s="46"/>
      <c r="F278" s="73"/>
      <c r="G278" s="73"/>
    </row>
    <row r="279" spans="1:7" s="4" customFormat="1">
      <c r="A279" s="155"/>
      <c r="D279" s="73"/>
      <c r="E279" s="46"/>
      <c r="F279" s="73"/>
      <c r="G279" s="73"/>
    </row>
    <row r="280" spans="1:7" s="4" customFormat="1">
      <c r="A280" s="155"/>
      <c r="D280" s="73"/>
      <c r="E280" s="46"/>
      <c r="F280" s="73"/>
      <c r="G280" s="73"/>
    </row>
    <row r="281" spans="1:7" s="4" customFormat="1">
      <c r="A281" s="155"/>
      <c r="D281" s="73"/>
      <c r="E281" s="46"/>
      <c r="F281" s="73"/>
      <c r="G281" s="73"/>
    </row>
    <row r="282" spans="1:7" s="4" customFormat="1">
      <c r="A282" s="155"/>
      <c r="D282" s="73"/>
      <c r="E282" s="46"/>
      <c r="F282" s="73"/>
      <c r="G282" s="73"/>
    </row>
    <row r="283" spans="1:7" s="4" customFormat="1">
      <c r="A283" s="155"/>
      <c r="D283" s="73"/>
      <c r="E283" s="46"/>
      <c r="F283" s="73"/>
      <c r="G283" s="73"/>
    </row>
    <row r="284" spans="1:7" s="4" customFormat="1">
      <c r="A284" s="155"/>
      <c r="D284" s="73"/>
      <c r="E284" s="46"/>
      <c r="F284" s="73"/>
      <c r="G284" s="73"/>
    </row>
    <row r="285" spans="1:7" s="4" customFormat="1">
      <c r="A285" s="155"/>
      <c r="D285" s="73"/>
      <c r="E285" s="46"/>
      <c r="F285" s="73"/>
      <c r="G285" s="241"/>
    </row>
    <row r="286" spans="1:7" s="4" customFormat="1">
      <c r="A286" s="155"/>
      <c r="D286" s="73"/>
      <c r="E286" s="46"/>
      <c r="F286" s="73"/>
      <c r="G286" s="73"/>
    </row>
    <row r="287" spans="1:7" s="4" customFormat="1">
      <c r="A287" s="155"/>
      <c r="D287" s="73"/>
      <c r="E287" s="46"/>
      <c r="F287" s="73"/>
      <c r="G287" s="73"/>
    </row>
    <row r="288" spans="1:7" s="4" customFormat="1">
      <c r="A288" s="155"/>
      <c r="D288" s="73"/>
      <c r="E288" s="46"/>
      <c r="F288" s="73"/>
      <c r="G288" s="73"/>
    </row>
    <row r="289" spans="1:7" s="4" customFormat="1">
      <c r="A289" s="155"/>
      <c r="D289" s="73"/>
      <c r="E289" s="46"/>
      <c r="F289" s="73"/>
      <c r="G289" s="73"/>
    </row>
    <row r="290" spans="1:7" s="4" customFormat="1">
      <c r="A290" s="155"/>
      <c r="D290" s="73"/>
      <c r="E290" s="46"/>
      <c r="F290" s="73"/>
      <c r="G290" s="73"/>
    </row>
    <row r="291" spans="1:7" s="4" customFormat="1">
      <c r="A291" s="155"/>
      <c r="D291" s="73"/>
      <c r="E291" s="46"/>
      <c r="F291" s="73"/>
      <c r="G291" s="73"/>
    </row>
    <row r="292" spans="1:7" s="4" customFormat="1">
      <c r="A292" s="155"/>
      <c r="D292" s="73"/>
      <c r="E292" s="46"/>
      <c r="F292" s="73"/>
      <c r="G292" s="73"/>
    </row>
    <row r="293" spans="1:7" s="4" customFormat="1">
      <c r="A293" s="155"/>
      <c r="D293" s="73"/>
      <c r="E293" s="46"/>
      <c r="F293" s="73"/>
      <c r="G293" s="73"/>
    </row>
    <row r="294" spans="1:7" s="4" customFormat="1">
      <c r="A294" s="155"/>
      <c r="D294" s="73"/>
      <c r="E294" s="46"/>
      <c r="F294" s="73"/>
      <c r="G294" s="73"/>
    </row>
    <row r="295" spans="1:7" s="4" customFormat="1">
      <c r="A295" s="155"/>
      <c r="D295" s="73"/>
      <c r="E295" s="46"/>
      <c r="F295" s="73"/>
      <c r="G295" s="73"/>
    </row>
    <row r="296" spans="1:7" s="4" customFormat="1">
      <c r="A296" s="155"/>
      <c r="B296" s="232"/>
      <c r="C296" s="232"/>
      <c r="D296" s="73"/>
      <c r="E296" s="46"/>
      <c r="F296" s="73"/>
      <c r="G296" s="73"/>
    </row>
    <row r="297" spans="1:7" s="4" customFormat="1">
      <c r="A297" s="155"/>
      <c r="D297" s="73"/>
      <c r="E297" s="46"/>
      <c r="F297" s="73"/>
      <c r="G297" s="73"/>
    </row>
    <row r="298" spans="1:7" s="4" customFormat="1">
      <c r="A298" s="155"/>
      <c r="D298" s="73"/>
      <c r="E298" s="46"/>
      <c r="F298" s="73"/>
      <c r="G298" s="73"/>
    </row>
    <row r="299" spans="1:7" s="4" customFormat="1">
      <c r="A299" s="155"/>
      <c r="D299" s="73"/>
      <c r="E299" s="46"/>
      <c r="F299" s="73"/>
      <c r="G299" s="73"/>
    </row>
    <row r="300" spans="1:7" s="4" customFormat="1">
      <c r="A300" s="155"/>
      <c r="D300" s="73"/>
      <c r="E300" s="46"/>
      <c r="F300" s="73"/>
      <c r="G300" s="73"/>
    </row>
    <row r="301" spans="1:7" s="4" customFormat="1">
      <c r="A301" s="155"/>
      <c r="D301" s="73"/>
      <c r="E301" s="46"/>
      <c r="F301" s="73"/>
      <c r="G301" s="73"/>
    </row>
    <row r="302" spans="1:7" s="4" customFormat="1">
      <c r="A302" s="155"/>
      <c r="D302" s="73"/>
      <c r="E302" s="46"/>
      <c r="F302" s="73"/>
      <c r="G302" s="73"/>
    </row>
    <row r="303" spans="1:7" s="4" customFormat="1">
      <c r="A303" s="155"/>
      <c r="D303" s="73"/>
      <c r="E303" s="46"/>
      <c r="F303" s="73"/>
      <c r="G303" s="73"/>
    </row>
    <row r="304" spans="1:7" s="4" customFormat="1">
      <c r="A304" s="155"/>
      <c r="D304" s="73"/>
      <c r="E304" s="46"/>
      <c r="F304" s="73"/>
      <c r="G304" s="73"/>
    </row>
    <row r="305" spans="1:7" s="4" customFormat="1">
      <c r="A305" s="155"/>
      <c r="D305" s="73"/>
      <c r="E305" s="46"/>
      <c r="F305" s="73"/>
      <c r="G305" s="73"/>
    </row>
    <row r="306" spans="1:7" s="4" customFormat="1">
      <c r="A306" s="155"/>
      <c r="D306" s="73"/>
      <c r="E306" s="46"/>
      <c r="F306" s="73"/>
      <c r="G306" s="73"/>
    </row>
    <row r="307" spans="1:7" s="4" customFormat="1">
      <c r="A307" s="155"/>
      <c r="D307" s="73"/>
      <c r="E307" s="46"/>
      <c r="F307" s="73"/>
      <c r="G307" s="73"/>
    </row>
    <row r="308" spans="1:7" s="4" customFormat="1">
      <c r="A308" s="155"/>
      <c r="D308" s="73"/>
      <c r="E308" s="46"/>
      <c r="F308" s="73"/>
      <c r="G308" s="73"/>
    </row>
    <row r="309" spans="1:7" s="4" customFormat="1">
      <c r="A309" s="155"/>
      <c r="D309" s="73"/>
      <c r="E309" s="46"/>
      <c r="F309" s="73"/>
      <c r="G309" s="73"/>
    </row>
    <row r="310" spans="1:7" s="4" customFormat="1">
      <c r="A310" s="155"/>
      <c r="D310" s="73"/>
      <c r="E310" s="46"/>
      <c r="F310" s="73"/>
      <c r="G310" s="73"/>
    </row>
    <row r="311" spans="1:7" s="4" customFormat="1">
      <c r="A311" s="155"/>
      <c r="D311" s="73"/>
      <c r="E311" s="46"/>
      <c r="F311" s="73"/>
      <c r="G311" s="73"/>
    </row>
    <row r="312" spans="1:7" s="4" customFormat="1">
      <c r="A312" s="155"/>
      <c r="D312" s="73"/>
      <c r="E312" s="46"/>
      <c r="F312" s="73"/>
      <c r="G312" s="73"/>
    </row>
    <row r="313" spans="1:7" s="4" customFormat="1">
      <c r="A313" s="155"/>
      <c r="D313" s="73"/>
      <c r="E313" s="46"/>
      <c r="F313" s="73"/>
      <c r="G313" s="73"/>
    </row>
    <row r="314" spans="1:7" s="4" customFormat="1">
      <c r="A314" s="155"/>
      <c r="D314" s="73"/>
      <c r="E314" s="46"/>
      <c r="F314" s="73"/>
      <c r="G314" s="73"/>
    </row>
    <row r="315" spans="1:7" s="4" customFormat="1">
      <c r="A315" s="155"/>
      <c r="D315" s="73"/>
      <c r="E315" s="46"/>
      <c r="F315" s="73"/>
      <c r="G315" s="73"/>
    </row>
    <row r="316" spans="1:7" s="4" customFormat="1">
      <c r="A316" s="155"/>
      <c r="D316" s="73"/>
      <c r="E316" s="46"/>
      <c r="F316" s="73"/>
      <c r="G316" s="73"/>
    </row>
    <row r="317" spans="1:7" s="4" customFormat="1">
      <c r="A317" s="155"/>
      <c r="D317" s="73"/>
      <c r="E317" s="46"/>
      <c r="F317" s="73"/>
      <c r="G317" s="73"/>
    </row>
    <row r="318" spans="1:7" s="4" customFormat="1">
      <c r="A318" s="155"/>
      <c r="D318" s="73"/>
      <c r="E318" s="46"/>
      <c r="F318" s="73"/>
      <c r="G318" s="73"/>
    </row>
    <row r="319" spans="1:7" s="4" customFormat="1">
      <c r="A319" s="155"/>
      <c r="D319" s="73"/>
      <c r="E319" s="46"/>
      <c r="F319" s="73"/>
      <c r="G319" s="73"/>
    </row>
    <row r="320" spans="1:7" s="4" customFormat="1">
      <c r="A320" s="155"/>
      <c r="D320" s="73"/>
      <c r="E320" s="46"/>
      <c r="F320" s="73"/>
      <c r="G320" s="73"/>
    </row>
    <row r="321" spans="1:7" s="4" customFormat="1">
      <c r="A321" s="155"/>
      <c r="D321" s="73"/>
      <c r="E321" s="238"/>
      <c r="F321" s="73"/>
      <c r="G321" s="73"/>
    </row>
    <row r="322" spans="1:7" s="4" customFormat="1">
      <c r="A322" s="155"/>
      <c r="D322" s="73"/>
      <c r="E322" s="238"/>
      <c r="F322" s="73"/>
      <c r="G322" s="73"/>
    </row>
    <row r="323" spans="1:7" s="4" customFormat="1">
      <c r="A323" s="155"/>
      <c r="D323" s="73"/>
      <c r="E323" s="238"/>
      <c r="F323" s="73"/>
      <c r="G323" s="73"/>
    </row>
    <row r="324" spans="1:7" s="4" customFormat="1">
      <c r="A324" s="155"/>
      <c r="D324" s="73"/>
      <c r="E324" s="238"/>
      <c r="F324" s="73"/>
      <c r="G324" s="73"/>
    </row>
    <row r="325" spans="1:7" s="4" customFormat="1">
      <c r="A325" s="155"/>
      <c r="D325" s="73"/>
      <c r="E325" s="238"/>
      <c r="F325" s="73"/>
      <c r="G325" s="73"/>
    </row>
    <row r="326" spans="1:7" s="4" customFormat="1">
      <c r="A326" s="155"/>
      <c r="D326" s="73"/>
      <c r="E326" s="238"/>
      <c r="F326" s="73"/>
      <c r="G326" s="73"/>
    </row>
    <row r="327" spans="1:7" s="4" customFormat="1">
      <c r="A327" s="155"/>
      <c r="D327" s="73"/>
      <c r="E327" s="238"/>
      <c r="F327" s="73"/>
      <c r="G327" s="73"/>
    </row>
    <row r="328" spans="1:7" s="4" customFormat="1">
      <c r="A328" s="155"/>
      <c r="D328" s="73"/>
      <c r="E328" s="238"/>
      <c r="F328" s="73"/>
      <c r="G328" s="73"/>
    </row>
    <row r="329" spans="1:7" s="4" customFormat="1">
      <c r="A329" s="155"/>
      <c r="D329" s="73"/>
      <c r="E329" s="46"/>
      <c r="F329" s="73"/>
      <c r="G329" s="73"/>
    </row>
    <row r="330" spans="1:7" s="4" customFormat="1">
      <c r="A330" s="155"/>
      <c r="D330" s="73"/>
      <c r="E330" s="46"/>
      <c r="F330" s="73"/>
      <c r="G330" s="73"/>
    </row>
    <row r="331" spans="1:7" s="4" customFormat="1">
      <c r="A331" s="155"/>
      <c r="D331" s="73"/>
      <c r="E331" s="46"/>
      <c r="F331" s="73"/>
      <c r="G331" s="73"/>
    </row>
    <row r="332" spans="1:7" s="4" customFormat="1">
      <c r="A332" s="155"/>
      <c r="D332" s="73"/>
      <c r="E332" s="46"/>
      <c r="F332" s="73"/>
      <c r="G332" s="73"/>
    </row>
    <row r="333" spans="1:7" s="4" customFormat="1">
      <c r="A333" s="155"/>
      <c r="D333" s="73"/>
      <c r="E333" s="46"/>
      <c r="F333" s="73"/>
      <c r="G333" s="73"/>
    </row>
    <row r="334" spans="1:7" s="4" customFormat="1">
      <c r="A334" s="155"/>
      <c r="D334" s="73"/>
      <c r="E334" s="46"/>
      <c r="F334" s="73"/>
      <c r="G334" s="73"/>
    </row>
    <row r="335" spans="1:7" s="4" customFormat="1">
      <c r="A335" s="155"/>
      <c r="D335" s="73"/>
      <c r="E335" s="46"/>
      <c r="F335" s="73"/>
      <c r="G335" s="73"/>
    </row>
    <row r="336" spans="1:7" s="4" customFormat="1">
      <c r="A336" s="155"/>
      <c r="D336" s="73"/>
      <c r="E336" s="46"/>
      <c r="F336" s="73"/>
      <c r="G336" s="73"/>
    </row>
    <row r="337" spans="1:7" s="4" customFormat="1">
      <c r="A337" s="155"/>
      <c r="D337" s="73"/>
      <c r="E337" s="46"/>
      <c r="F337" s="73"/>
      <c r="G337" s="73"/>
    </row>
    <row r="338" spans="1:7" s="4" customFormat="1">
      <c r="A338" s="155"/>
      <c r="D338" s="73"/>
      <c r="E338" s="46"/>
      <c r="F338" s="73"/>
      <c r="G338" s="73"/>
    </row>
    <row r="339" spans="1:7" s="4" customFormat="1">
      <c r="A339" s="155"/>
      <c r="D339" s="73"/>
      <c r="E339" s="46"/>
      <c r="F339" s="73"/>
      <c r="G339" s="73"/>
    </row>
    <row r="340" spans="1:7" s="4" customFormat="1">
      <c r="A340" s="155"/>
      <c r="D340" s="73"/>
      <c r="E340" s="46"/>
      <c r="F340" s="73"/>
      <c r="G340" s="73"/>
    </row>
    <row r="341" spans="1:7" s="4" customFormat="1">
      <c r="A341" s="155"/>
      <c r="D341" s="73"/>
      <c r="E341" s="46"/>
      <c r="F341" s="73"/>
      <c r="G341" s="73"/>
    </row>
    <row r="342" spans="1:7" s="4" customFormat="1">
      <c r="A342" s="155"/>
      <c r="D342" s="73"/>
      <c r="E342" s="46"/>
      <c r="F342" s="73"/>
      <c r="G342" s="73"/>
    </row>
    <row r="343" spans="1:7" s="4" customFormat="1">
      <c r="A343" s="155"/>
      <c r="D343" s="73"/>
      <c r="E343" s="46"/>
      <c r="F343" s="73"/>
      <c r="G343" s="73"/>
    </row>
    <row r="344" spans="1:7" s="4" customFormat="1">
      <c r="A344" s="155"/>
      <c r="D344" s="73"/>
      <c r="E344" s="46"/>
      <c r="F344" s="73"/>
      <c r="G344" s="73"/>
    </row>
    <row r="345" spans="1:7" s="4" customFormat="1">
      <c r="A345" s="155"/>
      <c r="D345" s="73"/>
      <c r="E345" s="46"/>
      <c r="F345" s="73"/>
      <c r="G345" s="73"/>
    </row>
    <row r="346" spans="1:7" s="4" customFormat="1">
      <c r="A346" s="155"/>
      <c r="D346" s="73"/>
      <c r="E346" s="46"/>
      <c r="F346" s="73"/>
      <c r="G346" s="73"/>
    </row>
    <row r="347" spans="1:7" s="4" customFormat="1">
      <c r="A347" s="155"/>
      <c r="D347" s="73"/>
      <c r="E347" s="46"/>
      <c r="F347" s="73"/>
      <c r="G347" s="73"/>
    </row>
    <row r="348" spans="1:7" s="4" customFormat="1">
      <c r="A348" s="155"/>
      <c r="D348" s="73"/>
      <c r="E348" s="46"/>
      <c r="F348" s="73"/>
      <c r="G348" s="73"/>
    </row>
    <row r="349" spans="1:7" s="4" customFormat="1">
      <c r="A349" s="155"/>
      <c r="D349" s="73"/>
      <c r="E349" s="46"/>
      <c r="F349" s="73"/>
      <c r="G349" s="73"/>
    </row>
    <row r="350" spans="1:7" s="4" customFormat="1">
      <c r="A350" s="155"/>
      <c r="D350" s="73"/>
      <c r="E350" s="46"/>
      <c r="F350" s="73"/>
      <c r="G350" s="73"/>
    </row>
    <row r="351" spans="1:7" s="4" customFormat="1">
      <c r="A351" s="155"/>
      <c r="D351" s="73"/>
      <c r="E351" s="46"/>
      <c r="F351" s="73"/>
      <c r="G351" s="73"/>
    </row>
    <row r="352" spans="1:7" s="4" customFormat="1">
      <c r="A352" s="155"/>
      <c r="D352" s="73"/>
      <c r="E352" s="46"/>
      <c r="F352" s="73"/>
      <c r="G352" s="73"/>
    </row>
    <row r="353" spans="1:7" s="4" customFormat="1">
      <c r="A353" s="155"/>
      <c r="D353" s="73"/>
      <c r="E353" s="46"/>
      <c r="F353" s="73"/>
      <c r="G353" s="73"/>
    </row>
    <row r="354" spans="1:7" s="4" customFormat="1">
      <c r="A354" s="155"/>
      <c r="D354" s="73"/>
      <c r="E354" s="46"/>
      <c r="F354" s="73"/>
      <c r="G354" s="73"/>
    </row>
    <row r="355" spans="1:7" s="4" customFormat="1">
      <c r="A355" s="155"/>
      <c r="D355" s="73"/>
      <c r="E355" s="46"/>
      <c r="F355" s="73"/>
      <c r="G355" s="73"/>
    </row>
    <row r="356" spans="1:7" s="4" customFormat="1">
      <c r="A356" s="155"/>
      <c r="D356" s="73"/>
      <c r="E356" s="46"/>
      <c r="F356" s="73"/>
      <c r="G356" s="73"/>
    </row>
    <row r="357" spans="1:7" s="4" customFormat="1">
      <c r="A357" s="155"/>
      <c r="D357" s="73"/>
      <c r="E357" s="46"/>
      <c r="F357" s="73"/>
      <c r="G357" s="73"/>
    </row>
    <row r="358" spans="1:7" s="4" customFormat="1">
      <c r="A358" s="155"/>
      <c r="D358" s="73"/>
      <c r="E358" s="46"/>
      <c r="F358" s="73"/>
      <c r="G358" s="73"/>
    </row>
    <row r="359" spans="1:7" s="4" customFormat="1">
      <c r="A359" s="155"/>
      <c r="D359" s="73"/>
      <c r="E359" s="46"/>
      <c r="F359" s="73"/>
      <c r="G359" s="73"/>
    </row>
    <row r="360" spans="1:7" s="4" customFormat="1">
      <c r="A360" s="155"/>
      <c r="D360" s="73"/>
      <c r="E360" s="46"/>
      <c r="F360" s="73"/>
      <c r="G360" s="73"/>
    </row>
    <row r="361" spans="1:7" s="4" customFormat="1">
      <c r="A361" s="155"/>
      <c r="D361" s="73"/>
      <c r="E361" s="46"/>
      <c r="F361" s="73"/>
      <c r="G361" s="73"/>
    </row>
    <row r="362" spans="1:7" s="4" customFormat="1">
      <c r="A362" s="155"/>
      <c r="D362" s="73"/>
      <c r="E362" s="46"/>
      <c r="F362" s="73"/>
      <c r="G362" s="73"/>
    </row>
    <row r="363" spans="1:7" s="4" customFormat="1">
      <c r="A363" s="155"/>
      <c r="D363" s="73"/>
      <c r="E363" s="46"/>
      <c r="F363" s="73"/>
      <c r="G363" s="73"/>
    </row>
    <row r="364" spans="1:7" s="4" customFormat="1">
      <c r="A364" s="155"/>
      <c r="D364" s="73"/>
      <c r="E364" s="46"/>
      <c r="F364" s="73"/>
      <c r="G364" s="73"/>
    </row>
    <row r="365" spans="1:7" s="4" customFormat="1">
      <c r="A365" s="155"/>
      <c r="D365" s="73"/>
      <c r="E365" s="46"/>
      <c r="F365" s="73"/>
      <c r="G365" s="73"/>
    </row>
    <row r="366" spans="1:7" s="4" customFormat="1">
      <c r="A366" s="155"/>
      <c r="D366" s="73"/>
      <c r="E366" s="46"/>
      <c r="F366" s="73"/>
      <c r="G366" s="73"/>
    </row>
    <row r="367" spans="1:7" s="4" customFormat="1">
      <c r="A367" s="155"/>
      <c r="D367" s="73"/>
      <c r="E367" s="46"/>
      <c r="F367" s="73"/>
      <c r="G367" s="73"/>
    </row>
    <row r="368" spans="1:7" s="4" customFormat="1">
      <c r="A368" s="155"/>
      <c r="D368" s="73"/>
      <c r="E368" s="46"/>
      <c r="F368" s="73"/>
      <c r="G368" s="73"/>
    </row>
    <row r="369" spans="1:7" s="4" customFormat="1">
      <c r="A369" s="155"/>
      <c r="D369" s="73"/>
      <c r="E369" s="46"/>
      <c r="F369" s="73"/>
      <c r="G369" s="73"/>
    </row>
    <row r="370" spans="1:7" s="4" customFormat="1">
      <c r="A370" s="155"/>
      <c r="D370" s="73"/>
      <c r="E370" s="46"/>
      <c r="F370" s="73"/>
      <c r="G370" s="73"/>
    </row>
    <row r="371" spans="1:7" s="4" customFormat="1">
      <c r="A371" s="155"/>
      <c r="D371" s="73"/>
      <c r="E371" s="46"/>
      <c r="F371" s="73"/>
      <c r="G371" s="73"/>
    </row>
    <row r="372" spans="1:7" s="4" customFormat="1">
      <c r="A372" s="155"/>
      <c r="D372" s="73"/>
      <c r="E372" s="46"/>
      <c r="F372" s="73"/>
      <c r="G372" s="73"/>
    </row>
    <row r="373" spans="1:7" s="4" customFormat="1">
      <c r="A373" s="155"/>
      <c r="D373" s="73"/>
      <c r="E373" s="46"/>
      <c r="F373" s="73"/>
      <c r="G373" s="73"/>
    </row>
    <row r="374" spans="1:7" s="4" customFormat="1">
      <c r="A374" s="155"/>
      <c r="D374" s="73"/>
      <c r="E374" s="46"/>
      <c r="F374" s="73"/>
      <c r="G374" s="73"/>
    </row>
    <row r="375" spans="1:7" s="4" customFormat="1">
      <c r="A375" s="155"/>
      <c r="D375" s="73"/>
      <c r="E375" s="46"/>
      <c r="F375" s="73"/>
      <c r="G375" s="73"/>
    </row>
    <row r="376" spans="1:7" s="4" customFormat="1">
      <c r="A376" s="155"/>
      <c r="D376" s="73"/>
      <c r="E376" s="46"/>
      <c r="F376" s="73"/>
      <c r="G376" s="73"/>
    </row>
    <row r="377" spans="1:7" s="4" customFormat="1">
      <c r="A377" s="155"/>
      <c r="D377" s="73"/>
      <c r="E377" s="46"/>
      <c r="F377" s="73"/>
      <c r="G377" s="73"/>
    </row>
    <row r="378" spans="1:7" s="4" customFormat="1">
      <c r="A378" s="155"/>
      <c r="D378" s="73"/>
      <c r="E378" s="46"/>
      <c r="F378" s="73"/>
      <c r="G378" s="73"/>
    </row>
    <row r="379" spans="1:7" s="4" customFormat="1">
      <c r="A379" s="155"/>
      <c r="D379" s="73"/>
      <c r="E379" s="46"/>
      <c r="F379" s="73"/>
      <c r="G379" s="73"/>
    </row>
    <row r="380" spans="1:7" s="4" customFormat="1">
      <c r="A380" s="155"/>
      <c r="D380" s="73"/>
      <c r="E380" s="46"/>
      <c r="F380" s="73"/>
      <c r="G380" s="73"/>
    </row>
    <row r="381" spans="1:7" s="4" customFormat="1">
      <c r="A381" s="155"/>
      <c r="D381" s="73"/>
      <c r="E381" s="46"/>
      <c r="F381" s="73"/>
      <c r="G381" s="73"/>
    </row>
    <row r="382" spans="1:7" s="4" customFormat="1">
      <c r="A382" s="155"/>
      <c r="D382" s="73"/>
      <c r="E382" s="46"/>
      <c r="F382" s="73"/>
      <c r="G382" s="73"/>
    </row>
    <row r="383" spans="1:7" s="4" customFormat="1">
      <c r="A383" s="155"/>
      <c r="D383" s="73"/>
      <c r="E383" s="46"/>
      <c r="F383" s="73"/>
      <c r="G383" s="73"/>
    </row>
    <row r="384" spans="1:7" s="4" customFormat="1">
      <c r="A384" s="155"/>
      <c r="D384" s="73"/>
      <c r="E384" s="46"/>
      <c r="F384" s="73"/>
      <c r="G384" s="73"/>
    </row>
    <row r="385" spans="1:7" s="4" customFormat="1">
      <c r="A385" s="155"/>
      <c r="D385" s="73"/>
      <c r="E385" s="46"/>
      <c r="F385" s="73"/>
      <c r="G385" s="73"/>
    </row>
    <row r="386" spans="1:7" s="4" customFormat="1">
      <c r="A386" s="155"/>
      <c r="D386" s="73"/>
      <c r="E386" s="46"/>
      <c r="F386" s="73"/>
      <c r="G386" s="73"/>
    </row>
    <row r="387" spans="1:7" s="4" customFormat="1">
      <c r="A387" s="155"/>
      <c r="D387" s="73"/>
      <c r="E387" s="46"/>
      <c r="F387" s="73"/>
      <c r="G387" s="73"/>
    </row>
    <row r="388" spans="1:7" s="4" customFormat="1">
      <c r="A388" s="155"/>
      <c r="D388" s="73"/>
      <c r="E388" s="46"/>
      <c r="F388" s="73"/>
      <c r="G388" s="73"/>
    </row>
    <row r="389" spans="1:7" s="4" customFormat="1">
      <c r="A389" s="155"/>
      <c r="D389" s="73"/>
      <c r="E389" s="46"/>
      <c r="F389" s="73"/>
      <c r="G389" s="73"/>
    </row>
    <row r="390" spans="1:7" s="4" customFormat="1">
      <c r="A390" s="155"/>
      <c r="D390" s="73"/>
      <c r="E390" s="46"/>
      <c r="F390" s="73"/>
      <c r="G390" s="73"/>
    </row>
    <row r="391" spans="1:7" s="4" customFormat="1">
      <c r="A391" s="155"/>
      <c r="D391" s="73"/>
      <c r="E391" s="46"/>
      <c r="F391" s="73"/>
      <c r="G391" s="73"/>
    </row>
    <row r="392" spans="1:7" s="4" customFormat="1">
      <c r="A392" s="155"/>
      <c r="D392" s="73"/>
      <c r="E392" s="46"/>
      <c r="F392" s="73"/>
      <c r="G392" s="73"/>
    </row>
    <row r="393" spans="1:7" s="4" customFormat="1">
      <c r="A393" s="155"/>
      <c r="D393" s="73"/>
      <c r="E393" s="46"/>
      <c r="F393" s="73"/>
      <c r="G393" s="73"/>
    </row>
    <row r="394" spans="1:7" s="4" customFormat="1">
      <c r="A394" s="155"/>
      <c r="D394" s="73"/>
      <c r="E394" s="46"/>
      <c r="F394" s="73"/>
      <c r="G394" s="73"/>
    </row>
    <row r="395" spans="1:7" s="4" customFormat="1">
      <c r="A395" s="155"/>
      <c r="D395" s="73"/>
      <c r="E395" s="238"/>
      <c r="F395" s="73"/>
      <c r="G395" s="73"/>
    </row>
    <row r="396" spans="1:7" s="4" customFormat="1">
      <c r="A396" s="155"/>
      <c r="D396" s="73"/>
      <c r="E396" s="238"/>
      <c r="F396" s="73"/>
      <c r="G396" s="73"/>
    </row>
    <row r="397" spans="1:7" s="4" customFormat="1">
      <c r="A397" s="155"/>
      <c r="D397" s="73"/>
      <c r="E397" s="238"/>
      <c r="F397" s="73"/>
      <c r="G397" s="73"/>
    </row>
    <row r="398" spans="1:7" s="4" customFormat="1">
      <c r="A398" s="155"/>
      <c r="D398" s="73"/>
      <c r="E398" s="238"/>
      <c r="F398" s="73"/>
      <c r="G398" s="73"/>
    </row>
    <row r="399" spans="1:7" s="4" customFormat="1">
      <c r="A399" s="155"/>
      <c r="D399" s="73"/>
      <c r="E399" s="238"/>
      <c r="F399" s="73"/>
      <c r="G399" s="73"/>
    </row>
    <row r="400" spans="1:7" s="4" customFormat="1">
      <c r="A400" s="155"/>
      <c r="D400" s="73"/>
      <c r="E400" s="238"/>
      <c r="F400" s="73"/>
      <c r="G400" s="73"/>
    </row>
    <row r="401" spans="1:7" s="4" customFormat="1">
      <c r="A401" s="155"/>
      <c r="D401" s="73"/>
      <c r="E401" s="238"/>
      <c r="F401" s="73"/>
      <c r="G401" s="73"/>
    </row>
    <row r="402" spans="1:7" s="4" customFormat="1">
      <c r="A402" s="155"/>
      <c r="D402" s="73"/>
      <c r="E402" s="238"/>
      <c r="F402" s="73"/>
      <c r="G402" s="73"/>
    </row>
    <row r="403" spans="1:7" s="4" customFormat="1">
      <c r="A403" s="155"/>
      <c r="D403" s="73"/>
      <c r="E403" s="46"/>
      <c r="F403" s="73"/>
      <c r="G403" s="73"/>
    </row>
    <row r="404" spans="1:7" s="4" customFormat="1">
      <c r="A404" s="155"/>
      <c r="D404" s="73"/>
      <c r="E404" s="46"/>
      <c r="F404" s="73"/>
      <c r="G404" s="73"/>
    </row>
    <row r="405" spans="1:7" s="4" customFormat="1">
      <c r="A405" s="155"/>
      <c r="B405" s="236"/>
      <c r="D405" s="73"/>
      <c r="E405" s="46"/>
      <c r="F405" s="73"/>
      <c r="G405" s="73"/>
    </row>
    <row r="406" spans="1:7" s="4" customFormat="1">
      <c r="A406" s="242"/>
      <c r="B406" s="232"/>
      <c r="C406" s="232"/>
      <c r="D406" s="163"/>
      <c r="E406" s="235"/>
      <c r="F406" s="73"/>
      <c r="G406" s="73"/>
    </row>
    <row r="407" spans="1:7" s="4" customFormat="1">
      <c r="A407" s="155"/>
      <c r="D407" s="73"/>
      <c r="E407" s="46"/>
      <c r="F407" s="73"/>
      <c r="G407" s="73"/>
    </row>
    <row r="408" spans="1:7" s="4" customFormat="1">
      <c r="A408" s="155"/>
      <c r="D408" s="73"/>
      <c r="E408" s="46"/>
      <c r="F408" s="73"/>
      <c r="G408" s="73"/>
    </row>
  </sheetData>
  <sortState ref="A2:J492">
    <sortCondition ref="A1"/>
  </sortState>
  <phoneticPr fontId="10" type="noConversion"/>
  <dataValidations count="37">
    <dataValidation type="list" allowBlank="1" showInputMessage="1" showErrorMessage="1" sqref="C4:C17 C19:C185 C222:C223 C529:C711 C409:C527 C232:C405 C407:C408">
      <formula1>INDIRECT(B4)</formula1>
    </dataValidation>
    <dataValidation type="list" allowBlank="1" showInputMessage="1" showErrorMessage="1" sqref="B2:B293 B593 B529:B590 B409:B527 B295:B405 B407:B408">
      <formula1>Expensecategory</formula1>
    </dataValidation>
    <dataValidation type="list" allowBlank="1" showInputMessage="1" showErrorMessage="1" sqref="C186">
      <formula1>INDIRECT($B$186)</formula1>
    </dataValidation>
    <dataValidation type="list" allowBlank="1" showInputMessage="1" showErrorMessage="1" sqref="C187">
      <formula1>INDIRECT($B$187)</formula1>
    </dataValidation>
    <dataValidation type="list" allowBlank="1" showInputMessage="1" showErrorMessage="1" sqref="C2">
      <formula1>INDIRECT($B$2)</formula1>
    </dataValidation>
    <dataValidation type="list" allowBlank="1" showInputMessage="1" showErrorMessage="1" sqref="C3">
      <formula1>INDIRECT($B$3)</formula1>
    </dataValidation>
    <dataValidation type="list" allowBlank="1" showInputMessage="1" showErrorMessage="1" sqref="C189:C190">
      <formula1>INDIRECT(B182)</formula1>
    </dataValidation>
    <dataValidation type="list" allowBlank="1" showInputMessage="1" showErrorMessage="1" sqref="C191">
      <formula1>INDIRECT(B182)</formula1>
    </dataValidation>
    <dataValidation type="list" allowBlank="1" showInputMessage="1" showErrorMessage="1" sqref="C192">
      <formula1>INDIRECT(B182)</formula1>
    </dataValidation>
    <dataValidation type="list" allowBlank="1" showInputMessage="1" showErrorMessage="1" sqref="C188">
      <formula1>INDIRECT(B182)</formula1>
    </dataValidation>
    <dataValidation type="list" allowBlank="1" showInputMessage="1" showErrorMessage="1" sqref="C193">
      <formula1>INDIRECT(B182)</formula1>
    </dataValidation>
    <dataValidation type="list" showInputMessage="1" showErrorMessage="1" sqref="C194">
      <formula1>INDIRECT(B182)</formula1>
    </dataValidation>
    <dataValidation type="list" allowBlank="1" showInputMessage="1" showErrorMessage="1" sqref="C195">
      <formula1>INDIRECT(B182)</formula1>
    </dataValidation>
    <dataValidation type="list" allowBlank="1" showInputMessage="1" showErrorMessage="1" sqref="C197">
      <formula1>INDIRECT($B$197)</formula1>
    </dataValidation>
    <dataValidation type="list" allowBlank="1" showInputMessage="1" showErrorMessage="1" sqref="C198">
      <formula1>INDIRECT($B$198)</formula1>
    </dataValidation>
    <dataValidation type="list" allowBlank="1" showInputMessage="1" showErrorMessage="1" sqref="C199">
      <formula1>INDIRECT($B$199)</formula1>
    </dataValidation>
    <dataValidation type="list" allowBlank="1" showInputMessage="1" showErrorMessage="1" sqref="C200 C226:C230">
      <formula1>INDIRECT($B$200)</formula1>
    </dataValidation>
    <dataValidation type="list" allowBlank="1" showInputMessage="1" showErrorMessage="1" sqref="C201">
      <formula1>INDIRECT($B$201)</formula1>
    </dataValidation>
    <dataValidation type="list" allowBlank="1" showInputMessage="1" showErrorMessage="1" sqref="C202">
      <formula1>INDIRECT($B202)</formula1>
    </dataValidation>
    <dataValidation type="list" allowBlank="1" showInputMessage="1" showErrorMessage="1" sqref="C203">
      <formula1>INDIRECT($B$203)</formula1>
    </dataValidation>
    <dataValidation type="list" allowBlank="1" showInputMessage="1" showErrorMessage="1" sqref="C207:C208 C211:C212 C214:C215">
      <formula1>INDIRECT($B$204:$B$216)</formula1>
    </dataValidation>
    <dataValidation type="list" allowBlank="1" showInputMessage="1" showErrorMessage="1" sqref="C204">
      <formula1>INDIRECT($B$204)</formula1>
    </dataValidation>
    <dataValidation type="list" allowBlank="1" showInputMessage="1" showErrorMessage="1" sqref="C205">
      <formula1>INDIRECT($B$205)</formula1>
    </dataValidation>
    <dataValidation type="list" allowBlank="1" showInputMessage="1" showErrorMessage="1" sqref="C206">
      <formula1>INDIRECT($B$206)</formula1>
    </dataValidation>
    <dataValidation type="list" allowBlank="1" showInputMessage="1" showErrorMessage="1" sqref="C209">
      <formula1>INDIRECT($B$209)</formula1>
    </dataValidation>
    <dataValidation type="list" allowBlank="1" showInputMessage="1" showErrorMessage="1" sqref="C210">
      <formula1>INDIRECT($B$210)</formula1>
    </dataValidation>
    <dataValidation type="list" allowBlank="1" showInputMessage="1" showErrorMessage="1" sqref="C196">
      <formula1>INDIRECT($B$196)</formula1>
    </dataValidation>
    <dataValidation type="list" allowBlank="1" showInputMessage="1" showErrorMessage="1" sqref="C213">
      <formula1>INDIRECT($B$213)</formula1>
    </dataValidation>
    <dataValidation type="list" allowBlank="1" showInputMessage="1" showErrorMessage="1" sqref="C216">
      <formula1>INDIRECT($B$216)</formula1>
    </dataValidation>
    <dataValidation type="list" allowBlank="1" showInputMessage="1" showErrorMessage="1" sqref="C217">
      <formula1>INDIRECT($B$217)</formula1>
    </dataValidation>
    <dataValidation type="list" allowBlank="1" showInputMessage="1" showErrorMessage="1" sqref="C218">
      <formula1>INDIRECT($B$218)</formula1>
    </dataValidation>
    <dataValidation type="list" allowBlank="1" showInputMessage="1" showErrorMessage="1" sqref="C219">
      <formula1>INDIRECT($B$219)</formula1>
    </dataValidation>
    <dataValidation type="list" allowBlank="1" showInputMessage="1" showErrorMessage="1" sqref="C220">
      <formula1>INDIRECT($B$220)</formula1>
    </dataValidation>
    <dataValidation type="list" allowBlank="1" showInputMessage="1" showErrorMessage="1" sqref="C221">
      <formula1>INDIRECT($B$221)</formula1>
    </dataValidation>
    <dataValidation type="list" allowBlank="1" showInputMessage="1" showErrorMessage="1" sqref="C224">
      <formula1>INDIRECT($B$224)</formula1>
    </dataValidation>
    <dataValidation type="list" allowBlank="1" showInputMessage="1" showErrorMessage="1" sqref="C225">
      <formula1>INDIRECT($B$225)</formula1>
    </dataValidation>
    <dataValidation type="list" allowBlank="1" showInputMessage="1" showErrorMessage="1" sqref="C231">
      <formula1>INDIRECT($B$231)</formula1>
    </dataValidation>
  </dataValidations>
  <pageMargins left="0.75" right="0.75" top="1" bottom="1" header="0.5" footer="0.5"/>
  <pageSetup orientation="portrait" horizontalDpi="4294967292" verticalDpi="429496729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'Other expenses'!A4:A8</xm:f>
          </x14:formula1>
          <xm:sqref>C18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workbookViewId="0">
      <selection activeCell="A34" sqref="A34"/>
    </sheetView>
  </sheetViews>
  <sheetFormatPr baseColWidth="10" defaultRowHeight="15" x14ac:dyDescent="0"/>
  <cols>
    <col min="1" max="1" width="31.6640625" customWidth="1"/>
    <col min="2" max="2" width="29" customWidth="1"/>
    <col min="3" max="3" width="23.33203125" customWidth="1"/>
    <col min="4" max="4" width="22.83203125" customWidth="1"/>
    <col min="5" max="5" width="11.5" bestFit="1" customWidth="1"/>
  </cols>
  <sheetData>
    <row r="1" spans="1:3">
      <c r="A1" s="50" t="s">
        <v>66</v>
      </c>
      <c r="B1" s="51" t="s">
        <v>255</v>
      </c>
      <c r="C1" s="51" t="s">
        <v>256</v>
      </c>
    </row>
    <row r="2" spans="1:3">
      <c r="A2" t="s">
        <v>215</v>
      </c>
      <c r="B2" s="1">
        <f>'Car and truck'!D13</f>
        <v>0</v>
      </c>
      <c r="C2" s="1">
        <f ca="1">SUMIF('Expense tracking'!B:B,"Car",'Expense tracking'!E1:E473)</f>
        <v>0</v>
      </c>
    </row>
    <row r="3" spans="1:3">
      <c r="A3" t="s">
        <v>52</v>
      </c>
      <c r="B3" s="1">
        <f>Chemicals!D9</f>
        <v>0</v>
      </c>
      <c r="C3" s="1">
        <f ca="1">SUMIF('Expense tracking'!B:B,"Chemicals",'Expense tracking'!E1:E473)</f>
        <v>0</v>
      </c>
    </row>
    <row r="4" spans="1:3">
      <c r="A4" t="s">
        <v>216</v>
      </c>
      <c r="B4" s="1">
        <f>'Conservation expenses'!D4</f>
        <v>0</v>
      </c>
      <c r="C4" s="1">
        <f>SUMIF('Expense tracking'!B:B,"Conservation expenses",'Expense tracking'!E:E)</f>
        <v>0</v>
      </c>
    </row>
    <row r="5" spans="1:3">
      <c r="A5" t="s">
        <v>217</v>
      </c>
      <c r="B5" s="1">
        <f>'Custom hire'!D7</f>
        <v>0</v>
      </c>
      <c r="C5" s="1">
        <f>SUMIF('Expense tracking'!B:B,"Custom",'Expense tracking'!E:E)</f>
        <v>0</v>
      </c>
    </row>
    <row r="6" spans="1:3">
      <c r="A6" t="s">
        <v>54</v>
      </c>
      <c r="B6" s="1">
        <f>Depreciation!D10</f>
        <v>0</v>
      </c>
      <c r="C6" s="1">
        <f>SUMIF('Expense tracking'!B:B,"Depreciation",'Expense tracking'!E:E)</f>
        <v>0</v>
      </c>
    </row>
    <row r="7" spans="1:3">
      <c r="A7" t="s">
        <v>218</v>
      </c>
      <c r="B7" s="1">
        <f>'Employee benefit programs'!D4</f>
        <v>0</v>
      </c>
      <c r="C7" s="1">
        <f>SUMIF('Expense tracking'!B:B,"Employee",'Expense tracking'!E:E)</f>
        <v>0</v>
      </c>
    </row>
    <row r="8" spans="1:3">
      <c r="A8" t="s">
        <v>55</v>
      </c>
      <c r="B8" s="1">
        <f>Feed!D4</f>
        <v>0</v>
      </c>
      <c r="C8" s="1">
        <f>SUMIF('Expense tracking'!B:B,"Feed",'Expense tracking'!E:E)</f>
        <v>0</v>
      </c>
    </row>
    <row r="9" spans="1:3">
      <c r="A9" t="s">
        <v>219</v>
      </c>
      <c r="B9" s="1">
        <f>'Fertilizers and lime'!D16</f>
        <v>0</v>
      </c>
      <c r="C9" s="1">
        <f>SUMIF('Expense tracking'!B:B,"Fertilizers",'Expense tracking'!E:E)</f>
        <v>0</v>
      </c>
    </row>
    <row r="10" spans="1:3">
      <c r="A10" t="s">
        <v>220</v>
      </c>
      <c r="B10" s="1">
        <f>'Freight and trucking'!D4</f>
        <v>0</v>
      </c>
      <c r="C10" s="1">
        <f>SUMIF('Expense tracking'!B:B,"Freight",'Expense tracking'!E:E)</f>
        <v>0</v>
      </c>
    </row>
    <row r="11" spans="1:3">
      <c r="A11" t="s">
        <v>86</v>
      </c>
      <c r="B11" s="1">
        <f>Gasoline!D8</f>
        <v>0</v>
      </c>
      <c r="C11" s="1">
        <f>SUMIF('Expense tracking'!B:B,"Gasoline",'Expense tracking'!E:E)</f>
        <v>0</v>
      </c>
    </row>
    <row r="12" spans="1:3">
      <c r="A12" t="s">
        <v>21</v>
      </c>
      <c r="B12" s="1">
        <f>Insurance!D6</f>
        <v>0</v>
      </c>
      <c r="C12" s="1">
        <f>SUMIF('Expense tracking'!B:B,"Insurance",'Expense tracking'!E:E)</f>
        <v>0</v>
      </c>
    </row>
    <row r="13" spans="1:3">
      <c r="A13" t="s">
        <v>57</v>
      </c>
      <c r="B13" s="1">
        <f>Interest!D4</f>
        <v>0</v>
      </c>
      <c r="C13" s="1">
        <f>SUMIF('Expense tracking'!B:B,"Interest",'Expense tracking'!E:E)</f>
        <v>0</v>
      </c>
    </row>
    <row r="14" spans="1:3">
      <c r="A14" t="s">
        <v>221</v>
      </c>
      <c r="B14" s="1">
        <f>Labor!D6</f>
        <v>0</v>
      </c>
      <c r="C14" s="1">
        <f>SUMIF('Expense tracking'!B:B,"Labor",'Expense tracking'!E:E)</f>
        <v>0</v>
      </c>
    </row>
    <row r="15" spans="1:3">
      <c r="A15" t="s">
        <v>222</v>
      </c>
      <c r="B15" s="1">
        <f>'Pension and profit-sharing'!D5</f>
        <v>0</v>
      </c>
      <c r="C15" s="1">
        <f>SUMIF('Expense tracking'!B:B,"Pension",'Expense tracking'!E:E)</f>
        <v>0</v>
      </c>
    </row>
    <row r="16" spans="1:3">
      <c r="A16" t="s">
        <v>223</v>
      </c>
      <c r="B16" s="1">
        <f>'Rent or lease'!D7</f>
        <v>0</v>
      </c>
      <c r="C16" s="1">
        <f>SUMIF('Expense tracking'!B:B,"Rent",'Expense tracking'!E:E)</f>
        <v>0</v>
      </c>
    </row>
    <row r="17" spans="1:4">
      <c r="A17" t="s">
        <v>224</v>
      </c>
      <c r="B17" s="1">
        <f>'Repairs and maintenance'!D8</f>
        <v>0</v>
      </c>
      <c r="C17" s="1">
        <f>SUMIF('Expense tracking'!B:B,"Repairs",'Expense tracking'!E:E)</f>
        <v>0</v>
      </c>
    </row>
    <row r="18" spans="1:4">
      <c r="A18" t="s">
        <v>225</v>
      </c>
      <c r="B18" s="1">
        <f>'Seeds and plants'!D6</f>
        <v>0</v>
      </c>
      <c r="C18" s="1">
        <f>SUMIF('Expense tracking'!B:B,"Seeds",'Expense tracking'!E:E)</f>
        <v>0</v>
      </c>
    </row>
    <row r="19" spans="1:4">
      <c r="A19" t="s">
        <v>226</v>
      </c>
      <c r="B19" s="1">
        <f>'Storage and warehousing'!D3</f>
        <v>0</v>
      </c>
      <c r="C19" s="1">
        <f>SUMIF('Expense tracking'!B:B,"Storage",'Expense tracking'!E:E)</f>
        <v>0</v>
      </c>
    </row>
    <row r="20" spans="1:4">
      <c r="A20" t="s">
        <v>24</v>
      </c>
      <c r="B20" s="1">
        <f>Supplies!D69</f>
        <v>0</v>
      </c>
      <c r="C20" s="1">
        <f>SUMIF('Expense tracking'!B:B,"Supplies",'Expense tracking'!E:E)</f>
        <v>0</v>
      </c>
    </row>
    <row r="21" spans="1:4">
      <c r="A21" t="s">
        <v>62</v>
      </c>
      <c r="B21" s="1">
        <f>Taxes!D5</f>
        <v>0</v>
      </c>
      <c r="C21" s="1">
        <f>SUMIF('Expense tracking'!B:B,"Taxes",'Expense tracking'!E:E)</f>
        <v>0</v>
      </c>
    </row>
    <row r="22" spans="1:4">
      <c r="A22" t="s">
        <v>22</v>
      </c>
      <c r="B22" s="1">
        <f>Utilities!D9</f>
        <v>0</v>
      </c>
      <c r="C22" s="1">
        <f>SUMIF('Expense tracking'!B:B,"Utilities",'Expense tracking'!E:E)</f>
        <v>0</v>
      </c>
    </row>
    <row r="23" spans="1:4">
      <c r="A23" t="s">
        <v>63</v>
      </c>
      <c r="B23" s="1">
        <f>Veterinary!D3</f>
        <v>0</v>
      </c>
      <c r="C23" s="1">
        <f>SUMIF('Expense tracking'!B:B,"Veterinary",'Expense tracking'!E:E)</f>
        <v>0</v>
      </c>
    </row>
    <row r="24" spans="1:4">
      <c r="A24" t="s">
        <v>227</v>
      </c>
      <c r="B24" s="1">
        <f>'Other expenses'!D9</f>
        <v>0</v>
      </c>
      <c r="C24" s="1">
        <f>SUMIF('Expense tracking'!B:B,"Other",'Expense tracking'!E:E)</f>
        <v>0</v>
      </c>
    </row>
    <row r="25" spans="1:4">
      <c r="A25" s="58" t="s">
        <v>65</v>
      </c>
      <c r="B25" s="60">
        <f>SUM(B2:B24)</f>
        <v>0</v>
      </c>
      <c r="C25" s="60">
        <f ca="1">SUM(C2:C24)</f>
        <v>0</v>
      </c>
      <c r="D25" s="45"/>
    </row>
    <row r="26" spans="1:4">
      <c r="A26" s="234"/>
      <c r="C26" s="72"/>
    </row>
    <row r="29" spans="1:4">
      <c r="A29" s="82"/>
      <c r="B29" s="46"/>
    </row>
    <row r="30" spans="1:4">
      <c r="A30" s="4"/>
      <c r="B30" s="4"/>
    </row>
  </sheetData>
  <phoneticPr fontId="10" type="noConversion"/>
  <pageMargins left="0.75" right="0.75" top="1" bottom="1" header="0.5" footer="0.5"/>
  <pageSetup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0"/>
  <sheetViews>
    <sheetView workbookViewId="0">
      <selection activeCell="D5" sqref="D5"/>
    </sheetView>
  </sheetViews>
  <sheetFormatPr baseColWidth="10" defaultColWidth="8.83203125" defaultRowHeight="15" x14ac:dyDescent="0"/>
  <cols>
    <col min="1" max="1" width="22" customWidth="1"/>
    <col min="2" max="2" width="17.1640625" customWidth="1"/>
    <col min="3" max="3" width="13" customWidth="1"/>
    <col min="4" max="4" width="18.1640625" customWidth="1"/>
    <col min="5" max="6" width="22.1640625" customWidth="1"/>
    <col min="7" max="7" width="29.33203125" customWidth="1"/>
    <col min="9" max="9" width="11.83203125" customWidth="1"/>
    <col min="11" max="11" width="11.5" customWidth="1"/>
  </cols>
  <sheetData>
    <row r="1" spans="1:7">
      <c r="A1" s="2" t="s">
        <v>183</v>
      </c>
    </row>
    <row r="2" spans="1:7">
      <c r="A2" s="1">
        <f ca="1">'Schedule F'!C2</f>
        <v>0</v>
      </c>
    </row>
    <row r="3" spans="1:7">
      <c r="A3" s="7" t="s">
        <v>0</v>
      </c>
      <c r="B3" s="8" t="s">
        <v>6</v>
      </c>
      <c r="C3" s="7" t="s">
        <v>1</v>
      </c>
      <c r="D3" s="7" t="s">
        <v>67</v>
      </c>
      <c r="E3" s="7" t="s">
        <v>165</v>
      </c>
      <c r="F3" s="8" t="s">
        <v>5</v>
      </c>
      <c r="G3" s="7" t="s">
        <v>2</v>
      </c>
    </row>
    <row r="4" spans="1:7" s="75" customFormat="1">
      <c r="A4" s="225" t="s">
        <v>205</v>
      </c>
      <c r="B4" s="226">
        <v>0</v>
      </c>
      <c r="C4" s="277">
        <v>0</v>
      </c>
      <c r="D4" s="227">
        <f>C4*B4</f>
        <v>0</v>
      </c>
      <c r="E4" s="228">
        <f>F43</f>
        <v>0</v>
      </c>
      <c r="F4" s="226"/>
      <c r="G4" s="229"/>
    </row>
    <row r="5" spans="1:7">
      <c r="A5" s="5" t="s">
        <v>68</v>
      </c>
      <c r="B5" s="6">
        <v>0</v>
      </c>
      <c r="C5" s="5">
        <v>0</v>
      </c>
      <c r="D5" s="9">
        <f>C5*B5</f>
        <v>0</v>
      </c>
      <c r="E5" s="10">
        <f>SUMIF('Expense tracking'!C:C,"Parking fees &amp; tolls",'Expense tracking'!E:E)</f>
        <v>0</v>
      </c>
      <c r="F5" s="6"/>
      <c r="G5" s="5"/>
    </row>
    <row r="6" spans="1:7">
      <c r="A6" s="5" t="s">
        <v>69</v>
      </c>
      <c r="B6" s="6">
        <v>0</v>
      </c>
      <c r="C6" s="5">
        <v>0</v>
      </c>
      <c r="D6" s="9">
        <f t="shared" ref="D6:D12" si="0">B6*C6</f>
        <v>0</v>
      </c>
      <c r="E6" s="10">
        <f>SUMIF('Expense tracking'!C:C,"Oil &amp; oil changes",'Expense tracking'!E:E)</f>
        <v>0</v>
      </c>
      <c r="F6" s="6"/>
      <c r="G6" s="5"/>
    </row>
    <row r="7" spans="1:7">
      <c r="A7" s="5" t="s">
        <v>70</v>
      </c>
      <c r="B7" s="6">
        <v>0</v>
      </c>
      <c r="C7" s="5">
        <v>0</v>
      </c>
      <c r="D7" s="9">
        <f t="shared" si="0"/>
        <v>0</v>
      </c>
      <c r="E7" s="10">
        <f>SUMIF('Expense tracking'!C:C,"Vehicle repair",'Expense tracking'!E:E)</f>
        <v>0</v>
      </c>
      <c r="F7" s="6"/>
      <c r="G7" s="5"/>
    </row>
    <row r="8" spans="1:7">
      <c r="A8" s="5" t="s">
        <v>71</v>
      </c>
      <c r="B8" s="6">
        <v>0</v>
      </c>
      <c r="C8" s="5">
        <v>0</v>
      </c>
      <c r="D8" s="9">
        <f>B8*C8</f>
        <v>0</v>
      </c>
      <c r="E8" s="10">
        <f>SUMIF('Expense tracking'!C:C,"Vehicle insurance",'Expense tracking'!E:E)</f>
        <v>0</v>
      </c>
      <c r="F8" s="6"/>
      <c r="G8" s="5"/>
    </row>
    <row r="9" spans="1:7">
      <c r="A9" s="5" t="s">
        <v>83</v>
      </c>
      <c r="B9" s="6">
        <v>0</v>
      </c>
      <c r="C9" s="5">
        <v>0</v>
      </c>
      <c r="D9" s="9">
        <f>B9*C9</f>
        <v>0</v>
      </c>
      <c r="E9" s="10">
        <f>SUMIF('Expense tracking'!C:C,"Vehicle registration",'Expense tracking'!E:E)</f>
        <v>0</v>
      </c>
      <c r="F9" s="6"/>
      <c r="G9" s="5"/>
    </row>
    <row r="10" spans="1:7">
      <c r="A10" s="5" t="s">
        <v>3</v>
      </c>
      <c r="B10" s="6">
        <v>0</v>
      </c>
      <c r="C10" s="5">
        <v>0</v>
      </c>
      <c r="D10" s="9">
        <f t="shared" si="0"/>
        <v>0</v>
      </c>
      <c r="E10" s="10">
        <f>SUMIF('Expense tracking'!C:C,"Hitch",'Expense tracking'!E:E)</f>
        <v>0</v>
      </c>
      <c r="F10" s="6"/>
      <c r="G10" s="5"/>
    </row>
    <row r="11" spans="1:7">
      <c r="A11" s="5" t="s">
        <v>4</v>
      </c>
      <c r="B11" s="6">
        <v>0</v>
      </c>
      <c r="C11" s="5">
        <v>0</v>
      </c>
      <c r="D11" s="9">
        <f t="shared" si="0"/>
        <v>0</v>
      </c>
      <c r="E11" s="10">
        <f>SUMIF('Expense tracking'!C:C,"Trailer",'Expense tracking'!E:E)</f>
        <v>0</v>
      </c>
      <c r="F11" s="6"/>
      <c r="G11" s="5"/>
    </row>
    <row r="12" spans="1:7">
      <c r="A12" s="5" t="s">
        <v>124</v>
      </c>
      <c r="B12" s="6">
        <v>0</v>
      </c>
      <c r="C12" s="5">
        <v>0</v>
      </c>
      <c r="D12" s="9">
        <f t="shared" si="0"/>
        <v>0</v>
      </c>
      <c r="E12" s="10">
        <f>SUMIF('Expense tracking'!C:C,"Trailer registration",'Expense tracking'!E:E)</f>
        <v>0</v>
      </c>
      <c r="F12" s="6"/>
      <c r="G12" s="5"/>
    </row>
    <row r="13" spans="1:7">
      <c r="A13" s="58" t="s">
        <v>65</v>
      </c>
      <c r="B13" s="50"/>
      <c r="C13" s="50"/>
      <c r="D13" s="171">
        <f>SUM(D4:D12)</f>
        <v>0</v>
      </c>
      <c r="E13" s="171">
        <f>SUM(E4:E12)</f>
        <v>0</v>
      </c>
    </row>
    <row r="15" spans="1:7" s="230" customFormat="1"/>
    <row r="16" spans="1:7" s="267" customFormat="1" ht="45" customHeight="1">
      <c r="A16" s="270" t="s">
        <v>283</v>
      </c>
      <c r="B16" s="270"/>
      <c r="C16" s="270"/>
      <c r="D16" s="270"/>
      <c r="E16" s="270"/>
      <c r="F16" s="270"/>
      <c r="G16" s="270"/>
    </row>
    <row r="18" spans="1:12" ht="45">
      <c r="A18" s="172" t="s">
        <v>258</v>
      </c>
      <c r="B18" s="172" t="s">
        <v>259</v>
      </c>
      <c r="C18" s="172" t="s">
        <v>260</v>
      </c>
      <c r="D18" s="172" t="s">
        <v>261</v>
      </c>
      <c r="E18" s="172" t="s">
        <v>262</v>
      </c>
      <c r="F18" s="172" t="s">
        <v>278</v>
      </c>
      <c r="G18" s="172" t="s">
        <v>263</v>
      </c>
      <c r="H18" s="207"/>
      <c r="I18" s="207"/>
      <c r="J18" s="207"/>
      <c r="K18" s="207"/>
      <c r="L18" s="207"/>
    </row>
    <row r="19" spans="1:12">
      <c r="A19" s="243" t="s">
        <v>264</v>
      </c>
      <c r="B19" s="244" t="s">
        <v>286</v>
      </c>
      <c r="C19" s="245"/>
      <c r="D19" s="220"/>
      <c r="E19" s="246">
        <f>D19-C19</f>
        <v>0</v>
      </c>
      <c r="F19" s="247">
        <f>E19*0.58</f>
        <v>0</v>
      </c>
      <c r="G19" s="247">
        <f>SUMIFS(C47:C202,D47:D202,"1", A47:A202,"Jan")</f>
        <v>20</v>
      </c>
      <c r="H19" s="44"/>
      <c r="I19" s="44"/>
      <c r="J19" s="44"/>
      <c r="K19" s="44"/>
      <c r="L19" s="44"/>
    </row>
    <row r="20" spans="1:12">
      <c r="A20" s="243" t="s">
        <v>264</v>
      </c>
      <c r="B20" s="244" t="s">
        <v>287</v>
      </c>
      <c r="C20" s="245"/>
      <c r="D20" s="220"/>
      <c r="E20" s="246">
        <f t="shared" ref="E20:E42" si="1">D20-C20</f>
        <v>0</v>
      </c>
      <c r="F20" s="247">
        <f t="shared" ref="F20:F42" si="2">E20*0.58</f>
        <v>0</v>
      </c>
      <c r="G20" s="247">
        <f>SUMIFS(C47:C203,D47:D203,"2", A47:A203,"Jan")</f>
        <v>0</v>
      </c>
      <c r="H20" s="44"/>
      <c r="I20" s="44"/>
      <c r="J20" s="44"/>
      <c r="K20" s="44"/>
      <c r="L20" s="44"/>
    </row>
    <row r="21" spans="1:12">
      <c r="A21" s="44" t="s">
        <v>265</v>
      </c>
      <c r="B21" s="248" t="s">
        <v>286</v>
      </c>
      <c r="C21" s="249"/>
      <c r="D21" s="250"/>
      <c r="E21" s="246">
        <f t="shared" si="1"/>
        <v>0</v>
      </c>
      <c r="F21" s="247">
        <f t="shared" si="2"/>
        <v>0</v>
      </c>
      <c r="G21" s="247">
        <f>SUMIFS(C$47:C204,D$47:D204,"1", A$47:A204,"Feb")</f>
        <v>0</v>
      </c>
      <c r="H21" s="44"/>
      <c r="I21" s="44"/>
      <c r="J21" s="44"/>
      <c r="K21" s="44"/>
      <c r="L21" s="44"/>
    </row>
    <row r="22" spans="1:12">
      <c r="A22" s="44" t="s">
        <v>265</v>
      </c>
      <c r="B22" s="248" t="s">
        <v>287</v>
      </c>
      <c r="C22" s="249"/>
      <c r="D22" s="250"/>
      <c r="E22" s="246">
        <f t="shared" si="1"/>
        <v>0</v>
      </c>
      <c r="F22" s="247">
        <f t="shared" si="2"/>
        <v>0</v>
      </c>
      <c r="G22" s="247">
        <f>SUMIFS(C$47:C205,D$47:D205,"2", A$47:A205,"Feb")</f>
        <v>0</v>
      </c>
      <c r="H22" s="44"/>
      <c r="I22" s="251"/>
      <c r="J22" s="44"/>
      <c r="K22" s="44"/>
      <c r="L22" s="44"/>
    </row>
    <row r="23" spans="1:12">
      <c r="A23" s="243" t="s">
        <v>266</v>
      </c>
      <c r="B23" s="244" t="s">
        <v>286</v>
      </c>
      <c r="C23" s="245"/>
      <c r="D23" s="220"/>
      <c r="E23" s="246">
        <f t="shared" si="1"/>
        <v>0</v>
      </c>
      <c r="F23" s="247">
        <f t="shared" si="2"/>
        <v>0</v>
      </c>
      <c r="G23" s="247">
        <f>SUMIFS(C$47:C206,D$47:D206,"1", A$47:A206,"Mar")</f>
        <v>0</v>
      </c>
      <c r="H23" s="44"/>
      <c r="I23" s="44"/>
      <c r="J23" s="44"/>
      <c r="K23" s="44"/>
      <c r="L23" s="44"/>
    </row>
    <row r="24" spans="1:12">
      <c r="A24" s="243" t="s">
        <v>266</v>
      </c>
      <c r="B24" s="244" t="s">
        <v>287</v>
      </c>
      <c r="C24" s="245"/>
      <c r="D24" s="220"/>
      <c r="E24" s="246">
        <f t="shared" si="1"/>
        <v>0</v>
      </c>
      <c r="F24" s="247">
        <f t="shared" si="2"/>
        <v>0</v>
      </c>
      <c r="G24" s="247">
        <f>SUMIFS(C$47:C207,D$47:D207,"2", A$47:A207,"Mar")</f>
        <v>0</v>
      </c>
      <c r="H24" s="44"/>
      <c r="I24" s="44"/>
      <c r="J24" s="44"/>
      <c r="K24" s="44"/>
      <c r="L24" s="44"/>
    </row>
    <row r="25" spans="1:12">
      <c r="A25" s="44" t="s">
        <v>267</v>
      </c>
      <c r="B25" s="248" t="s">
        <v>286</v>
      </c>
      <c r="C25" s="249"/>
      <c r="D25" s="250"/>
      <c r="E25" s="246">
        <f t="shared" si="1"/>
        <v>0</v>
      </c>
      <c r="F25" s="247">
        <f t="shared" si="2"/>
        <v>0</v>
      </c>
      <c r="G25" s="247">
        <f>SUMIFS(C$47:C208,D$47:D208,"1", A$47:A208,"Apr")</f>
        <v>0</v>
      </c>
      <c r="H25" s="44"/>
      <c r="I25" s="44"/>
      <c r="J25" s="44"/>
      <c r="K25" s="44"/>
      <c r="L25" s="44"/>
    </row>
    <row r="26" spans="1:12">
      <c r="A26" s="44" t="s">
        <v>267</v>
      </c>
      <c r="B26" s="248" t="s">
        <v>287</v>
      </c>
      <c r="C26" s="249"/>
      <c r="D26" s="250"/>
      <c r="E26" s="246">
        <f t="shared" si="1"/>
        <v>0</v>
      </c>
      <c r="F26" s="247">
        <f t="shared" si="2"/>
        <v>0</v>
      </c>
      <c r="G26" s="247">
        <f>SUMIFS(C$47:C209,D$47:D209,"2", A$47:A209,"Apr")</f>
        <v>0</v>
      </c>
      <c r="H26" s="44"/>
      <c r="I26" s="44"/>
      <c r="J26" s="269"/>
      <c r="K26" s="269"/>
      <c r="L26" s="269"/>
    </row>
    <row r="27" spans="1:12">
      <c r="A27" s="243" t="s">
        <v>268</v>
      </c>
      <c r="B27" s="244" t="s">
        <v>286</v>
      </c>
      <c r="C27" s="245"/>
      <c r="D27" s="220"/>
      <c r="E27" s="246">
        <f t="shared" si="1"/>
        <v>0</v>
      </c>
      <c r="F27" s="247">
        <f t="shared" si="2"/>
        <v>0</v>
      </c>
      <c r="G27" s="247">
        <f>SUMIFS(C$47:C210,D$47:D210,"1", A$47:A210,"May")</f>
        <v>0</v>
      </c>
      <c r="H27" s="44"/>
      <c r="I27" s="44"/>
      <c r="J27" s="44"/>
      <c r="K27" s="44"/>
      <c r="L27" s="44"/>
    </row>
    <row r="28" spans="1:12">
      <c r="A28" s="243" t="s">
        <v>268</v>
      </c>
      <c r="B28" s="244" t="s">
        <v>287</v>
      </c>
      <c r="C28" s="245"/>
      <c r="D28" s="220"/>
      <c r="E28" s="246">
        <f t="shared" si="1"/>
        <v>0</v>
      </c>
      <c r="F28" s="247">
        <f t="shared" si="2"/>
        <v>0</v>
      </c>
      <c r="G28" s="247">
        <f>SUMIFS(C$47:C211,D$47:D211,"2", A$47:A211,"May")</f>
        <v>0</v>
      </c>
      <c r="H28" s="44"/>
      <c r="I28" s="44"/>
      <c r="J28" s="44"/>
      <c r="K28" s="251"/>
      <c r="L28" s="44"/>
    </row>
    <row r="29" spans="1:12">
      <c r="A29" s="44" t="s">
        <v>269</v>
      </c>
      <c r="B29" s="248" t="s">
        <v>286</v>
      </c>
      <c r="C29" s="249"/>
      <c r="D29" s="250"/>
      <c r="E29" s="246">
        <f t="shared" si="1"/>
        <v>0</v>
      </c>
      <c r="F29" s="247">
        <f t="shared" si="2"/>
        <v>0</v>
      </c>
      <c r="G29" s="247">
        <f>SUMIFS(C$47:C212,D$47:D212,"1", A$47:A212,"Jun")</f>
        <v>0</v>
      </c>
      <c r="H29" s="44"/>
      <c r="I29" s="44"/>
      <c r="J29" s="44"/>
      <c r="K29" s="251"/>
      <c r="L29" s="44"/>
    </row>
    <row r="30" spans="1:12">
      <c r="A30" s="44" t="s">
        <v>269</v>
      </c>
      <c r="B30" s="248" t="s">
        <v>287</v>
      </c>
      <c r="C30" s="249"/>
      <c r="D30" s="250"/>
      <c r="E30" s="246">
        <f t="shared" si="1"/>
        <v>0</v>
      </c>
      <c r="F30" s="247">
        <f t="shared" si="2"/>
        <v>0</v>
      </c>
      <c r="G30" s="247">
        <f>SUMIFS(C$47:C213,D$47:D213,"2", A$47:A213,"Jun")</f>
        <v>0</v>
      </c>
      <c r="H30" s="44"/>
      <c r="I30" s="251"/>
      <c r="J30" s="44"/>
      <c r="K30" s="44"/>
      <c r="L30" s="44"/>
    </row>
    <row r="31" spans="1:12">
      <c r="A31" s="243" t="s">
        <v>270</v>
      </c>
      <c r="B31" s="244" t="s">
        <v>286</v>
      </c>
      <c r="C31" s="245"/>
      <c r="D31" s="220"/>
      <c r="E31" s="246">
        <f t="shared" si="1"/>
        <v>0</v>
      </c>
      <c r="F31" s="247">
        <f t="shared" si="2"/>
        <v>0</v>
      </c>
      <c r="G31" s="247">
        <f>SUMIFS(C$47:C214,D$47:D214,"1", A$47:A214,"Jul")</f>
        <v>0</v>
      </c>
      <c r="H31" s="44"/>
      <c r="I31" s="251"/>
      <c r="J31" s="44"/>
      <c r="K31" s="44"/>
      <c r="L31" s="44"/>
    </row>
    <row r="32" spans="1:12">
      <c r="A32" s="243" t="s">
        <v>270</v>
      </c>
      <c r="B32" s="244" t="s">
        <v>287</v>
      </c>
      <c r="C32" s="245"/>
      <c r="D32" s="220"/>
      <c r="E32" s="246">
        <f t="shared" si="1"/>
        <v>0</v>
      </c>
      <c r="F32" s="247">
        <f t="shared" si="2"/>
        <v>0</v>
      </c>
      <c r="G32" s="247">
        <f>SUMIFS(C$47:C215,D$47:D215,"2", A$47:A215,"Jul")</f>
        <v>0</v>
      </c>
      <c r="H32" s="44"/>
      <c r="I32" s="251"/>
      <c r="J32" s="44"/>
      <c r="K32" s="44"/>
      <c r="L32" s="44"/>
    </row>
    <row r="33" spans="1:12">
      <c r="A33" s="44" t="s">
        <v>271</v>
      </c>
      <c r="B33" s="248" t="s">
        <v>286</v>
      </c>
      <c r="C33" s="249"/>
      <c r="D33" s="250"/>
      <c r="E33" s="246">
        <f t="shared" si="1"/>
        <v>0</v>
      </c>
      <c r="F33" s="247">
        <f t="shared" si="2"/>
        <v>0</v>
      </c>
      <c r="G33" s="247">
        <f>SUMIFS(C$47:C216,D$47:D216,"1", A$47:A216,"Aug")</f>
        <v>0</v>
      </c>
      <c r="H33" s="44"/>
      <c r="I33" s="44"/>
      <c r="J33" s="44"/>
      <c r="K33" s="44"/>
      <c r="L33" s="44"/>
    </row>
    <row r="34" spans="1:12">
      <c r="A34" s="44" t="s">
        <v>271</v>
      </c>
      <c r="B34" s="248" t="s">
        <v>287</v>
      </c>
      <c r="C34" s="249"/>
      <c r="D34" s="250"/>
      <c r="E34" s="246">
        <f t="shared" si="1"/>
        <v>0</v>
      </c>
      <c r="F34" s="247">
        <f t="shared" si="2"/>
        <v>0</v>
      </c>
      <c r="G34" s="247">
        <f>SUMIFS(C$47:C217,D$47:D217,"2", A$47:A217,"Aug")</f>
        <v>0</v>
      </c>
      <c r="H34" s="44"/>
      <c r="I34" s="44"/>
      <c r="J34" s="44"/>
      <c r="K34" s="28"/>
      <c r="L34" s="44"/>
    </row>
    <row r="35" spans="1:12">
      <c r="A35" s="243" t="s">
        <v>272</v>
      </c>
      <c r="B35" s="244" t="s">
        <v>286</v>
      </c>
      <c r="C35" s="245"/>
      <c r="D35" s="220"/>
      <c r="E35" s="246">
        <f t="shared" si="1"/>
        <v>0</v>
      </c>
      <c r="F35" s="247">
        <f t="shared" si="2"/>
        <v>0</v>
      </c>
      <c r="G35" s="247">
        <f>SUMIFS(C$47:C218,D$47:D218,"1", A$47:A218,"Sep")</f>
        <v>0</v>
      </c>
      <c r="H35" s="44"/>
      <c r="I35" s="44"/>
      <c r="J35" s="44"/>
      <c r="K35" s="28"/>
      <c r="L35" s="44"/>
    </row>
    <row r="36" spans="1:12">
      <c r="A36" s="243" t="s">
        <v>272</v>
      </c>
      <c r="B36" s="244" t="s">
        <v>287</v>
      </c>
      <c r="C36" s="245"/>
      <c r="D36" s="220"/>
      <c r="E36" s="246">
        <f t="shared" si="1"/>
        <v>0</v>
      </c>
      <c r="F36" s="247">
        <f t="shared" si="2"/>
        <v>0</v>
      </c>
      <c r="G36" s="247">
        <f>SUMIFS(C$47:C219,D$47:D219,"2", A$47:A219,"Sep")</f>
        <v>0</v>
      </c>
      <c r="H36" s="44"/>
      <c r="I36" s="28"/>
      <c r="J36" s="44"/>
      <c r="K36" s="44"/>
      <c r="L36" s="44"/>
    </row>
    <row r="37" spans="1:12">
      <c r="A37" s="44" t="s">
        <v>273</v>
      </c>
      <c r="B37" s="248" t="s">
        <v>286</v>
      </c>
      <c r="C37" s="249"/>
      <c r="D37" s="250"/>
      <c r="E37" s="246">
        <f t="shared" si="1"/>
        <v>0</v>
      </c>
      <c r="F37" s="247">
        <f t="shared" si="2"/>
        <v>0</v>
      </c>
      <c r="G37" s="247">
        <f>SUMIFS(C$47:C220,D$47:D220,"1", A$47:A220,"Oct")</f>
        <v>0</v>
      </c>
      <c r="H37" s="44"/>
      <c r="I37" s="28"/>
      <c r="J37" s="44"/>
      <c r="K37" s="44"/>
      <c r="L37" s="44"/>
    </row>
    <row r="38" spans="1:12">
      <c r="A38" s="44" t="s">
        <v>273</v>
      </c>
      <c r="B38" s="248" t="s">
        <v>287</v>
      </c>
      <c r="C38" s="249"/>
      <c r="D38" s="250"/>
      <c r="E38" s="246">
        <f t="shared" si="1"/>
        <v>0</v>
      </c>
      <c r="F38" s="247">
        <f t="shared" si="2"/>
        <v>0</v>
      </c>
      <c r="G38" s="247">
        <f>SUMIFS(C$47:C221,D$47:D221,"2", A$47:A221,"Oct")</f>
        <v>0</v>
      </c>
      <c r="H38" s="44"/>
      <c r="I38" s="28"/>
      <c r="J38" s="44"/>
      <c r="K38" s="44"/>
      <c r="L38" s="44"/>
    </row>
    <row r="39" spans="1:12">
      <c r="A39" s="243" t="s">
        <v>274</v>
      </c>
      <c r="B39" s="244" t="s">
        <v>286</v>
      </c>
      <c r="C39" s="245"/>
      <c r="D39" s="220"/>
      <c r="E39" s="246">
        <f t="shared" si="1"/>
        <v>0</v>
      </c>
      <c r="F39" s="247">
        <f t="shared" si="2"/>
        <v>0</v>
      </c>
      <c r="G39" s="247">
        <f>SUMIFS(C$47:C222,D$47:D222,"1", A$47:A222,"Nov")</f>
        <v>0</v>
      </c>
      <c r="H39" s="44"/>
      <c r="I39" s="44"/>
      <c r="J39" s="44"/>
      <c r="K39" s="44"/>
      <c r="L39" s="44"/>
    </row>
    <row r="40" spans="1:12">
      <c r="A40" s="243" t="s">
        <v>274</v>
      </c>
      <c r="B40" s="244" t="s">
        <v>287</v>
      </c>
      <c r="C40" s="245"/>
      <c r="D40" s="220"/>
      <c r="E40" s="246">
        <f t="shared" si="1"/>
        <v>0</v>
      </c>
      <c r="F40" s="247">
        <f t="shared" si="2"/>
        <v>0</v>
      </c>
      <c r="G40" s="247">
        <f>SUMIFS(C$47:C223,D$47:D223,"2", A$47:A223,"Nov")</f>
        <v>0</v>
      </c>
      <c r="H40" s="44"/>
      <c r="I40" s="44"/>
      <c r="J40" s="44"/>
      <c r="K40" s="44"/>
      <c r="L40" s="44"/>
    </row>
    <row r="41" spans="1:12">
      <c r="A41" s="13" t="s">
        <v>275</v>
      </c>
      <c r="B41" s="16" t="s">
        <v>286</v>
      </c>
      <c r="C41" s="209"/>
      <c r="D41" s="210"/>
      <c r="E41" s="246">
        <f t="shared" si="1"/>
        <v>0</v>
      </c>
      <c r="F41" s="208">
        <f t="shared" si="2"/>
        <v>0</v>
      </c>
      <c r="G41" s="247">
        <f>SUMIFS(C$47:C224,D$47:D224,"1", A$47:A224,"Dec")</f>
        <v>0</v>
      </c>
      <c r="H41" s="13"/>
      <c r="I41" s="13"/>
      <c r="J41" s="13"/>
      <c r="K41" s="13"/>
      <c r="L41" s="13"/>
    </row>
    <row r="42" spans="1:12" s="224" customFormat="1" ht="16" thickBot="1">
      <c r="A42" s="212" t="s">
        <v>275</v>
      </c>
      <c r="B42" s="221" t="s">
        <v>287</v>
      </c>
      <c r="C42" s="222"/>
      <c r="D42" s="223"/>
      <c r="E42" s="252">
        <f t="shared" si="1"/>
        <v>0</v>
      </c>
      <c r="F42" s="211">
        <f t="shared" si="2"/>
        <v>0</v>
      </c>
      <c r="G42" s="211">
        <f>SUMIFS(C$47:C225,D$47:D225,"2", A$47:A225,"Dec")</f>
        <v>0</v>
      </c>
      <c r="H42" s="212"/>
      <c r="I42" s="212"/>
      <c r="J42" s="212"/>
      <c r="K42" s="212"/>
      <c r="L42" s="212"/>
    </row>
    <row r="43" spans="1:12">
      <c r="A43" s="213"/>
      <c r="B43" s="214"/>
      <c r="C43" s="215"/>
      <c r="D43" s="216"/>
      <c r="E43" s="64" t="s">
        <v>155</v>
      </c>
      <c r="F43" s="217">
        <f>SUM(F19:F42)</f>
        <v>0</v>
      </c>
      <c r="G43" s="218"/>
      <c r="H43" s="13"/>
      <c r="I43" s="13"/>
      <c r="J43" s="13"/>
      <c r="K43" s="13"/>
      <c r="L43" s="13"/>
    </row>
    <row r="44" spans="1:12" s="230" customFormat="1">
      <c r="A44" s="255"/>
      <c r="B44" s="261"/>
      <c r="C44" s="262"/>
      <c r="D44" s="263"/>
      <c r="E44" s="264"/>
      <c r="F44" s="265"/>
      <c r="G44" s="266"/>
      <c r="H44" s="255"/>
      <c r="I44" s="255"/>
      <c r="J44" s="255"/>
      <c r="K44" s="255"/>
      <c r="L44" s="255"/>
    </row>
    <row r="45" spans="1:12" s="4" customFormat="1">
      <c r="A45" s="232"/>
      <c r="B45" s="256"/>
      <c r="C45" s="257"/>
      <c r="D45" s="258"/>
      <c r="E45" s="259"/>
      <c r="F45" s="260"/>
      <c r="G45" s="240"/>
      <c r="H45" s="232"/>
      <c r="I45" s="232"/>
      <c r="J45" s="232"/>
      <c r="K45" s="232"/>
      <c r="L45" s="232"/>
    </row>
    <row r="46" spans="1:12" s="275" customFormat="1" ht="30">
      <c r="A46" s="271" t="s">
        <v>72</v>
      </c>
      <c r="B46" s="172" t="s">
        <v>276</v>
      </c>
      <c r="C46" s="272" t="s">
        <v>277</v>
      </c>
      <c r="D46" s="172" t="s">
        <v>288</v>
      </c>
      <c r="E46" s="172"/>
      <c r="F46" s="172"/>
      <c r="G46" s="172"/>
      <c r="H46" s="273"/>
      <c r="I46" s="274"/>
      <c r="J46" s="274"/>
      <c r="K46" s="274"/>
      <c r="L46" s="274"/>
    </row>
    <row r="47" spans="1:12">
      <c r="A47" s="276" t="s">
        <v>264</v>
      </c>
      <c r="B47" s="219">
        <v>43831</v>
      </c>
      <c r="C47" s="13">
        <v>20</v>
      </c>
      <c r="D47" s="158">
        <v>1</v>
      </c>
      <c r="E47" s="158"/>
      <c r="F47" s="13"/>
      <c r="G47" s="13"/>
      <c r="H47" s="13"/>
      <c r="I47" s="13"/>
      <c r="J47" s="13"/>
      <c r="K47" s="13"/>
      <c r="L47" s="13"/>
    </row>
    <row r="48" spans="1:12">
      <c r="A48" s="276" t="s">
        <v>265</v>
      </c>
      <c r="B48" s="219"/>
      <c r="C48" s="13"/>
      <c r="D48" s="158"/>
      <c r="E48" s="158"/>
      <c r="F48" s="13"/>
      <c r="G48" s="13"/>
      <c r="H48" s="13"/>
      <c r="I48" s="13"/>
      <c r="J48" s="13"/>
      <c r="K48" s="13"/>
      <c r="L48" s="13"/>
    </row>
    <row r="49" spans="1:12">
      <c r="A49" s="276" t="s">
        <v>266</v>
      </c>
      <c r="B49" s="219"/>
      <c r="C49" s="13"/>
      <c r="D49" s="158"/>
      <c r="E49" s="158"/>
      <c r="F49" s="13"/>
      <c r="G49" s="13"/>
      <c r="H49" s="13"/>
      <c r="I49" s="13"/>
      <c r="J49" s="13"/>
      <c r="K49" s="13"/>
      <c r="L49" s="13"/>
    </row>
    <row r="50" spans="1:12">
      <c r="A50" s="276" t="s">
        <v>267</v>
      </c>
      <c r="B50" s="219"/>
      <c r="C50" s="13"/>
      <c r="D50" s="158"/>
      <c r="E50" s="158"/>
      <c r="F50" s="13"/>
      <c r="G50" s="13"/>
      <c r="H50" s="13"/>
      <c r="I50" s="13"/>
      <c r="J50" s="13"/>
      <c r="K50" s="13"/>
      <c r="L50" s="13"/>
    </row>
    <row r="51" spans="1:12">
      <c r="A51" s="276" t="s">
        <v>268</v>
      </c>
      <c r="B51" s="219"/>
      <c r="C51" s="13"/>
      <c r="D51" s="158"/>
      <c r="E51" s="158"/>
      <c r="F51" s="13"/>
      <c r="G51" s="13"/>
      <c r="H51" s="13"/>
      <c r="I51" s="13"/>
      <c r="J51" s="13"/>
      <c r="K51" s="13"/>
      <c r="L51" s="13"/>
    </row>
    <row r="52" spans="1:12">
      <c r="A52" s="276" t="s">
        <v>269</v>
      </c>
      <c r="B52" s="219"/>
      <c r="C52" s="13"/>
      <c r="D52" s="158"/>
      <c r="E52" s="158"/>
      <c r="F52" s="13"/>
      <c r="G52" s="13"/>
      <c r="H52" s="13"/>
      <c r="I52" s="13"/>
      <c r="J52" s="13"/>
      <c r="K52" s="13"/>
      <c r="L52" s="13"/>
    </row>
    <row r="53" spans="1:12">
      <c r="A53" s="276" t="s">
        <v>270</v>
      </c>
      <c r="B53" s="219"/>
      <c r="C53" s="13"/>
      <c r="D53" s="158"/>
      <c r="E53" s="158"/>
      <c r="F53" s="13"/>
      <c r="G53" s="13"/>
      <c r="H53" s="13"/>
      <c r="I53" s="13"/>
      <c r="J53" s="13"/>
      <c r="K53" s="13"/>
      <c r="L53" s="13"/>
    </row>
    <row r="54" spans="1:12">
      <c r="A54" s="276" t="s">
        <v>271</v>
      </c>
      <c r="B54" s="219"/>
      <c r="C54" s="13"/>
      <c r="D54" s="158"/>
      <c r="E54" s="158"/>
      <c r="F54" s="13"/>
      <c r="G54" s="13"/>
      <c r="H54" s="13"/>
      <c r="I54" s="13"/>
      <c r="J54" s="13"/>
      <c r="K54" s="13"/>
      <c r="L54" s="13"/>
    </row>
    <row r="55" spans="1:12">
      <c r="A55" s="276" t="s">
        <v>272</v>
      </c>
      <c r="B55" s="219"/>
      <c r="C55" s="13"/>
      <c r="D55" s="158"/>
      <c r="E55" s="158"/>
      <c r="F55" s="13"/>
      <c r="G55" s="13"/>
      <c r="H55" s="13"/>
      <c r="I55" s="13"/>
      <c r="J55" s="13"/>
      <c r="K55" s="13"/>
      <c r="L55" s="13"/>
    </row>
    <row r="56" spans="1:12">
      <c r="A56" s="276" t="s">
        <v>273</v>
      </c>
      <c r="B56" s="219"/>
      <c r="C56" s="13"/>
      <c r="D56" s="158"/>
      <c r="E56" s="158"/>
      <c r="F56" s="13"/>
      <c r="G56" s="13"/>
      <c r="H56" s="13"/>
      <c r="I56" s="13"/>
      <c r="J56" s="13"/>
      <c r="K56" s="13"/>
      <c r="L56" s="13"/>
    </row>
    <row r="57" spans="1:12">
      <c r="A57" s="276" t="s">
        <v>274</v>
      </c>
      <c r="B57" s="219"/>
      <c r="C57" s="13"/>
      <c r="D57" s="158"/>
      <c r="E57" s="158"/>
      <c r="F57" s="13"/>
      <c r="G57" s="13"/>
      <c r="H57" s="13"/>
      <c r="I57" s="13"/>
      <c r="J57" s="13"/>
      <c r="K57" s="13"/>
      <c r="L57" s="13"/>
    </row>
    <row r="58" spans="1:12">
      <c r="A58" s="276" t="s">
        <v>275</v>
      </c>
      <c r="B58" s="219"/>
      <c r="C58" s="13"/>
      <c r="D58" s="158"/>
      <c r="E58" s="158"/>
      <c r="F58" s="13"/>
      <c r="G58" s="13"/>
      <c r="H58" s="13"/>
      <c r="I58" s="13"/>
      <c r="J58" s="13"/>
      <c r="K58" s="13"/>
      <c r="L58" s="13"/>
    </row>
    <row r="59" spans="1:12">
      <c r="A59" s="276" t="s">
        <v>264</v>
      </c>
      <c r="B59" s="219"/>
      <c r="C59" s="13"/>
      <c r="D59" s="158"/>
      <c r="E59" s="158"/>
      <c r="F59" s="13"/>
      <c r="G59" s="13"/>
      <c r="H59" s="13"/>
      <c r="I59" s="13"/>
      <c r="J59" s="13"/>
      <c r="K59" s="13"/>
      <c r="L59" s="13"/>
    </row>
    <row r="60" spans="1:12">
      <c r="A60" s="276" t="s">
        <v>265</v>
      </c>
      <c r="B60" s="219"/>
      <c r="C60" s="13"/>
      <c r="D60" s="158"/>
      <c r="E60" s="158"/>
      <c r="F60" s="13"/>
      <c r="G60" s="13"/>
      <c r="H60" s="13"/>
      <c r="I60" s="13"/>
      <c r="J60" s="13"/>
      <c r="K60" s="13"/>
      <c r="L60" s="13"/>
    </row>
    <row r="61" spans="1:12">
      <c r="A61" s="276" t="s">
        <v>266</v>
      </c>
      <c r="B61" s="219"/>
      <c r="C61" s="13"/>
      <c r="D61" s="158"/>
      <c r="E61" s="158"/>
      <c r="F61" s="13"/>
      <c r="G61" s="13"/>
      <c r="H61" s="13"/>
      <c r="I61" s="13"/>
      <c r="J61" s="13"/>
      <c r="K61" s="13"/>
      <c r="L61" s="13"/>
    </row>
    <row r="62" spans="1:12">
      <c r="A62" s="276" t="s">
        <v>267</v>
      </c>
      <c r="B62" s="219"/>
      <c r="C62" s="13"/>
      <c r="D62" s="158"/>
      <c r="E62" s="158"/>
      <c r="F62" s="13"/>
      <c r="G62" s="13"/>
      <c r="H62" s="13"/>
      <c r="I62" s="13"/>
      <c r="J62" s="13"/>
      <c r="K62" s="13"/>
      <c r="L62" s="13"/>
    </row>
    <row r="63" spans="1:12">
      <c r="A63" s="276" t="s">
        <v>268</v>
      </c>
      <c r="B63" s="219"/>
      <c r="C63" s="13"/>
      <c r="D63" s="158"/>
      <c r="E63" s="158"/>
      <c r="F63" s="13"/>
      <c r="G63" s="13"/>
      <c r="H63" s="13"/>
      <c r="I63" s="13"/>
      <c r="J63" s="13"/>
      <c r="K63" s="13"/>
      <c r="L63" s="13"/>
    </row>
    <row r="64" spans="1:12">
      <c r="A64" s="276" t="s">
        <v>269</v>
      </c>
      <c r="B64" s="219"/>
      <c r="C64" s="13"/>
      <c r="D64" s="158"/>
      <c r="E64" s="158"/>
      <c r="F64" s="13"/>
      <c r="G64" s="13"/>
      <c r="H64" s="13"/>
      <c r="I64" s="13"/>
      <c r="J64" s="13"/>
      <c r="K64" s="13"/>
      <c r="L64" s="13"/>
    </row>
    <row r="65" spans="1:12">
      <c r="A65" s="276" t="s">
        <v>270</v>
      </c>
      <c r="B65" s="219"/>
      <c r="C65" s="13"/>
      <c r="D65" s="158"/>
      <c r="E65" s="158"/>
      <c r="F65" s="13"/>
      <c r="G65" s="13"/>
      <c r="H65" s="13"/>
      <c r="I65" s="13"/>
      <c r="J65" s="13"/>
      <c r="K65" s="13"/>
      <c r="L65" s="13"/>
    </row>
    <row r="66" spans="1:12">
      <c r="A66" s="276" t="s">
        <v>271</v>
      </c>
      <c r="B66" s="219"/>
      <c r="C66" s="13"/>
      <c r="D66" s="158"/>
      <c r="E66" s="158"/>
      <c r="F66" s="13"/>
      <c r="G66" s="13"/>
      <c r="H66" s="13"/>
      <c r="I66" s="13"/>
      <c r="J66" s="13"/>
      <c r="K66" s="13"/>
      <c r="L66" s="13"/>
    </row>
    <row r="67" spans="1:12">
      <c r="A67" s="276" t="s">
        <v>272</v>
      </c>
      <c r="B67" s="219"/>
      <c r="C67" s="13"/>
      <c r="D67" s="158"/>
      <c r="E67" s="158"/>
      <c r="F67" s="13"/>
      <c r="G67" s="13"/>
      <c r="H67" s="13"/>
      <c r="I67" s="13"/>
      <c r="J67" s="13"/>
      <c r="K67" s="13"/>
      <c r="L67" s="13"/>
    </row>
    <row r="68" spans="1:12">
      <c r="A68" s="276" t="s">
        <v>273</v>
      </c>
      <c r="B68" s="219"/>
      <c r="C68" s="13"/>
      <c r="D68" s="158"/>
      <c r="E68" s="158"/>
      <c r="F68" s="13"/>
      <c r="G68" s="13"/>
      <c r="H68" s="13"/>
      <c r="I68" s="13"/>
      <c r="J68" s="13"/>
      <c r="K68" s="13"/>
      <c r="L68" s="13"/>
    </row>
    <row r="69" spans="1:12">
      <c r="A69" s="276" t="s">
        <v>274</v>
      </c>
      <c r="B69" s="219"/>
      <c r="C69" s="13"/>
      <c r="D69" s="158"/>
      <c r="E69" s="158"/>
      <c r="F69" s="13"/>
      <c r="G69" s="13"/>
      <c r="H69" s="13"/>
      <c r="I69" s="13"/>
      <c r="J69" s="13"/>
      <c r="K69" s="13"/>
      <c r="L69" s="13"/>
    </row>
    <row r="70" spans="1:12">
      <c r="A70" s="276" t="s">
        <v>275</v>
      </c>
      <c r="B70" s="219"/>
      <c r="C70" s="13"/>
      <c r="D70" s="158"/>
      <c r="E70" s="158"/>
      <c r="F70" s="13"/>
      <c r="G70" s="13"/>
      <c r="H70" s="13"/>
      <c r="I70" s="13"/>
      <c r="J70" s="13"/>
      <c r="K70" s="13"/>
      <c r="L70" s="13"/>
    </row>
    <row r="71" spans="1:12">
      <c r="A71" s="276" t="s">
        <v>264</v>
      </c>
      <c r="B71" s="219"/>
      <c r="C71" s="13"/>
      <c r="D71" s="158"/>
      <c r="E71" s="158"/>
      <c r="F71" s="13"/>
      <c r="G71" s="13"/>
      <c r="H71" s="13"/>
      <c r="I71" s="13"/>
      <c r="J71" s="13"/>
      <c r="K71" s="13"/>
      <c r="L71" s="13"/>
    </row>
    <row r="72" spans="1:12">
      <c r="A72" s="276" t="s">
        <v>265</v>
      </c>
      <c r="B72" s="219"/>
      <c r="C72" s="13"/>
      <c r="D72" s="158"/>
      <c r="E72" s="158"/>
      <c r="F72" s="13"/>
      <c r="G72" s="13"/>
      <c r="H72" s="13"/>
      <c r="I72" s="13"/>
      <c r="J72" s="13"/>
      <c r="K72" s="13"/>
      <c r="L72" s="13"/>
    </row>
    <row r="73" spans="1:12">
      <c r="A73" s="276" t="s">
        <v>266</v>
      </c>
      <c r="B73" s="219"/>
      <c r="C73" s="13"/>
      <c r="D73" s="158"/>
      <c r="E73" s="158"/>
      <c r="F73" s="13"/>
      <c r="G73" s="13"/>
      <c r="H73" s="13"/>
      <c r="I73" s="13"/>
      <c r="J73" s="13"/>
      <c r="K73" s="13"/>
      <c r="L73" s="13"/>
    </row>
    <row r="74" spans="1:12">
      <c r="A74" s="276" t="s">
        <v>267</v>
      </c>
      <c r="B74" s="219"/>
      <c r="C74" s="13"/>
      <c r="D74" s="158"/>
      <c r="E74" s="158"/>
      <c r="F74" s="13"/>
      <c r="G74" s="13"/>
      <c r="H74" s="13"/>
      <c r="I74" s="13"/>
      <c r="J74" s="13"/>
      <c r="K74" s="13"/>
      <c r="L74" s="13"/>
    </row>
    <row r="75" spans="1:12">
      <c r="A75" s="276" t="s">
        <v>268</v>
      </c>
      <c r="B75" s="219"/>
      <c r="C75" s="13"/>
      <c r="D75" s="158"/>
      <c r="E75" s="158"/>
      <c r="F75" s="13"/>
      <c r="G75" s="13"/>
      <c r="H75" s="13"/>
      <c r="I75" s="13"/>
      <c r="J75" s="13"/>
      <c r="K75" s="13"/>
      <c r="L75" s="13"/>
    </row>
    <row r="76" spans="1:12">
      <c r="A76" s="276" t="s">
        <v>269</v>
      </c>
      <c r="B76" s="219"/>
      <c r="C76" s="13"/>
      <c r="D76" s="158"/>
      <c r="E76" s="158"/>
      <c r="F76" s="13"/>
      <c r="G76" s="13"/>
      <c r="H76" s="13"/>
      <c r="I76" s="13"/>
      <c r="J76" s="13"/>
      <c r="K76" s="13"/>
      <c r="L76" s="13"/>
    </row>
    <row r="77" spans="1:12">
      <c r="A77" s="276" t="s">
        <v>270</v>
      </c>
      <c r="B77" s="219"/>
      <c r="C77" s="13"/>
      <c r="D77" s="158"/>
      <c r="E77" s="158"/>
      <c r="F77" s="13"/>
      <c r="G77" s="13"/>
      <c r="H77" s="13"/>
      <c r="I77" s="13"/>
      <c r="J77" s="13"/>
      <c r="K77" s="13"/>
      <c r="L77" s="13"/>
    </row>
    <row r="78" spans="1:12">
      <c r="A78" s="276" t="s">
        <v>271</v>
      </c>
      <c r="B78" s="219"/>
      <c r="C78" s="13"/>
      <c r="D78" s="158"/>
      <c r="E78" s="158"/>
      <c r="F78" s="13"/>
      <c r="G78" s="13"/>
      <c r="H78" s="13"/>
      <c r="I78" s="13"/>
      <c r="J78" s="13"/>
      <c r="K78" s="13"/>
      <c r="L78" s="13"/>
    </row>
    <row r="79" spans="1:12">
      <c r="A79" s="276" t="s">
        <v>272</v>
      </c>
      <c r="B79" s="219"/>
      <c r="C79" s="13"/>
      <c r="D79" s="158"/>
      <c r="E79" s="158"/>
      <c r="F79" s="13"/>
      <c r="G79" s="13"/>
      <c r="H79" s="13"/>
      <c r="I79" s="13"/>
      <c r="J79" s="13"/>
      <c r="K79" s="13"/>
      <c r="L79" s="13"/>
    </row>
    <row r="80" spans="1:12">
      <c r="A80" s="276" t="s">
        <v>273</v>
      </c>
      <c r="B80" s="219"/>
      <c r="C80" s="13"/>
      <c r="D80" s="158"/>
      <c r="E80" s="158"/>
      <c r="F80" s="13"/>
      <c r="G80" s="13"/>
      <c r="H80" s="13"/>
      <c r="I80" s="13"/>
      <c r="J80" s="13"/>
      <c r="K80" s="13"/>
      <c r="L80" s="13"/>
    </row>
    <row r="81" spans="1:12">
      <c r="A81" s="276" t="s">
        <v>274</v>
      </c>
      <c r="B81" s="219"/>
      <c r="C81" s="13"/>
      <c r="D81" s="158"/>
      <c r="E81" s="158"/>
      <c r="F81" s="13"/>
      <c r="G81" s="13"/>
      <c r="H81" s="13"/>
      <c r="I81" s="13"/>
      <c r="J81" s="13"/>
      <c r="K81" s="13"/>
      <c r="L81" s="13"/>
    </row>
    <row r="82" spans="1:12">
      <c r="A82" s="276" t="s">
        <v>275</v>
      </c>
      <c r="B82" s="219"/>
      <c r="C82" s="13"/>
      <c r="D82" s="158"/>
      <c r="E82" s="158"/>
      <c r="F82" s="13"/>
      <c r="G82" s="13"/>
      <c r="H82" s="13"/>
      <c r="I82" s="13"/>
      <c r="J82" s="13"/>
      <c r="K82" s="13"/>
      <c r="L82" s="13"/>
    </row>
    <row r="83" spans="1:12">
      <c r="A83" s="276" t="s">
        <v>264</v>
      </c>
      <c r="B83" s="219"/>
      <c r="C83" s="13"/>
      <c r="D83" s="158"/>
      <c r="E83" s="158"/>
      <c r="F83" s="13"/>
      <c r="G83" s="13"/>
      <c r="H83" s="13"/>
      <c r="I83" s="13"/>
      <c r="J83" s="13"/>
      <c r="K83" s="13"/>
      <c r="L83" s="13"/>
    </row>
    <row r="84" spans="1:12">
      <c r="A84" s="276" t="s">
        <v>265</v>
      </c>
      <c r="B84" s="219"/>
      <c r="C84" s="13"/>
      <c r="D84" s="158"/>
      <c r="E84" s="158"/>
      <c r="F84" s="13"/>
      <c r="G84" s="13"/>
      <c r="H84" s="13"/>
      <c r="I84" s="13"/>
      <c r="J84" s="13"/>
      <c r="K84" s="13"/>
      <c r="L84" s="13"/>
    </row>
    <row r="85" spans="1:12">
      <c r="A85" s="276" t="s">
        <v>266</v>
      </c>
      <c r="B85" s="219"/>
      <c r="C85" s="13"/>
      <c r="D85" s="158"/>
      <c r="E85" s="158"/>
      <c r="F85" s="13"/>
      <c r="G85" s="13"/>
      <c r="H85" s="13"/>
      <c r="I85" s="13"/>
      <c r="J85" s="13"/>
      <c r="K85" s="13"/>
      <c r="L85" s="13"/>
    </row>
    <row r="86" spans="1:12">
      <c r="A86" s="276" t="s">
        <v>267</v>
      </c>
      <c r="B86" s="219"/>
      <c r="C86" s="13"/>
      <c r="D86" s="158"/>
      <c r="E86" s="158"/>
      <c r="F86" s="13"/>
      <c r="G86" s="13"/>
      <c r="H86" s="13"/>
      <c r="I86" s="13"/>
      <c r="J86" s="13"/>
      <c r="K86" s="13"/>
      <c r="L86" s="13"/>
    </row>
    <row r="87" spans="1:12">
      <c r="A87" s="276" t="s">
        <v>268</v>
      </c>
      <c r="B87" s="219"/>
      <c r="C87" s="13"/>
      <c r="D87" s="158"/>
      <c r="E87" s="158"/>
      <c r="F87" s="13"/>
      <c r="G87" s="13"/>
      <c r="H87" s="13"/>
      <c r="I87" s="13"/>
      <c r="J87" s="13"/>
      <c r="K87" s="13"/>
      <c r="L87" s="13"/>
    </row>
    <row r="88" spans="1:12">
      <c r="A88" s="276" t="s">
        <v>269</v>
      </c>
      <c r="B88" s="219"/>
      <c r="C88" s="13"/>
      <c r="D88" s="158"/>
      <c r="E88" s="158"/>
      <c r="F88" s="13"/>
      <c r="G88" s="13"/>
      <c r="H88" s="13"/>
      <c r="I88" s="13"/>
      <c r="J88" s="13"/>
      <c r="K88" s="13"/>
      <c r="L88" s="13"/>
    </row>
    <row r="89" spans="1:12">
      <c r="A89" s="276" t="s">
        <v>270</v>
      </c>
      <c r="B89" s="219"/>
      <c r="C89" s="13"/>
      <c r="D89" s="158"/>
      <c r="E89" s="158"/>
      <c r="F89" s="13"/>
      <c r="G89" s="13"/>
      <c r="H89" s="13"/>
      <c r="I89" s="13"/>
      <c r="J89" s="13"/>
      <c r="K89" s="13"/>
      <c r="L89" s="13"/>
    </row>
    <row r="90" spans="1:12">
      <c r="A90" s="276" t="s">
        <v>271</v>
      </c>
      <c r="B90" s="219"/>
      <c r="C90" s="13"/>
      <c r="D90" s="158"/>
      <c r="E90" s="158"/>
      <c r="F90" s="13"/>
      <c r="G90" s="13"/>
      <c r="H90" s="13"/>
      <c r="I90" s="13"/>
      <c r="J90" s="13"/>
      <c r="K90" s="13"/>
      <c r="L90" s="13"/>
    </row>
    <row r="91" spans="1:12">
      <c r="A91" s="276" t="s">
        <v>272</v>
      </c>
      <c r="B91" s="219"/>
      <c r="C91" s="13"/>
      <c r="D91" s="158"/>
      <c r="E91" s="158"/>
      <c r="F91" s="13"/>
      <c r="G91" s="13"/>
      <c r="H91" s="13"/>
      <c r="I91" s="13"/>
      <c r="J91" s="13"/>
      <c r="K91" s="13"/>
      <c r="L91" s="13"/>
    </row>
    <row r="92" spans="1:12">
      <c r="A92" s="276" t="s">
        <v>273</v>
      </c>
      <c r="B92" s="219"/>
      <c r="C92" s="13"/>
      <c r="D92" s="158"/>
      <c r="E92" s="158"/>
      <c r="F92" s="13"/>
      <c r="G92" s="13"/>
      <c r="H92" s="13"/>
      <c r="I92" s="13"/>
      <c r="J92" s="13"/>
      <c r="K92" s="13"/>
      <c r="L92" s="13"/>
    </row>
    <row r="93" spans="1:12">
      <c r="A93" s="276" t="s">
        <v>274</v>
      </c>
      <c r="B93" s="219"/>
      <c r="C93" s="13"/>
      <c r="D93" s="158"/>
      <c r="E93" s="158"/>
      <c r="F93" s="13"/>
      <c r="G93" s="13"/>
      <c r="H93" s="13"/>
      <c r="I93" s="13"/>
      <c r="J93" s="13"/>
      <c r="K93" s="13"/>
      <c r="L93" s="13"/>
    </row>
    <row r="94" spans="1:12">
      <c r="A94" s="276" t="s">
        <v>275</v>
      </c>
      <c r="B94" s="219"/>
      <c r="C94" s="13"/>
      <c r="D94" s="158"/>
      <c r="E94" s="158"/>
      <c r="F94" s="13"/>
      <c r="G94" s="13"/>
      <c r="H94" s="13"/>
      <c r="I94" s="13"/>
      <c r="J94" s="13"/>
      <c r="K94" s="13"/>
      <c r="L94" s="13"/>
    </row>
    <row r="95" spans="1:12">
      <c r="A95" s="276" t="s">
        <v>264</v>
      </c>
      <c r="B95" s="219"/>
      <c r="C95" s="13"/>
      <c r="D95" s="158"/>
      <c r="E95" s="158"/>
      <c r="F95" s="13"/>
      <c r="G95" s="13"/>
      <c r="H95" s="13"/>
      <c r="I95" s="13"/>
      <c r="J95" s="13"/>
      <c r="K95" s="13"/>
      <c r="L95" s="13"/>
    </row>
    <row r="96" spans="1:12">
      <c r="A96" s="276" t="s">
        <v>265</v>
      </c>
      <c r="B96" s="219"/>
      <c r="C96" s="13"/>
      <c r="D96" s="158"/>
      <c r="E96" s="158"/>
      <c r="F96" s="13"/>
      <c r="G96" s="13"/>
      <c r="H96" s="13"/>
      <c r="I96" s="13"/>
      <c r="J96" s="13"/>
      <c r="K96" s="13"/>
      <c r="L96" s="13"/>
    </row>
    <row r="97" spans="1:12">
      <c r="A97" s="276" t="s">
        <v>266</v>
      </c>
      <c r="B97" s="219"/>
      <c r="C97" s="13"/>
      <c r="D97" s="158"/>
      <c r="E97" s="158"/>
      <c r="F97" s="13"/>
      <c r="G97" s="13"/>
      <c r="H97" s="13"/>
      <c r="I97" s="13"/>
      <c r="J97" s="13"/>
      <c r="K97" s="13"/>
      <c r="L97" s="13"/>
    </row>
    <row r="98" spans="1:12">
      <c r="A98" s="276" t="s">
        <v>267</v>
      </c>
      <c r="B98" s="219"/>
      <c r="C98" s="13"/>
      <c r="D98" s="158"/>
      <c r="E98" s="158"/>
      <c r="F98" s="13"/>
      <c r="G98" s="13"/>
      <c r="H98" s="13"/>
      <c r="I98" s="13"/>
      <c r="J98" s="13"/>
      <c r="K98" s="13"/>
      <c r="L98" s="13"/>
    </row>
    <row r="99" spans="1:12">
      <c r="A99" s="276" t="s">
        <v>268</v>
      </c>
      <c r="B99" s="219"/>
      <c r="C99" s="13"/>
      <c r="D99" s="158"/>
      <c r="E99" s="158"/>
      <c r="F99" s="13"/>
      <c r="G99" s="13"/>
      <c r="H99" s="13"/>
      <c r="I99" s="13"/>
      <c r="J99" s="13"/>
      <c r="K99" s="13"/>
      <c r="L99" s="13"/>
    </row>
    <row r="100" spans="1:12">
      <c r="A100" s="276" t="s">
        <v>269</v>
      </c>
      <c r="B100" s="219"/>
      <c r="C100" s="13"/>
      <c r="D100" s="158"/>
      <c r="E100" s="158"/>
      <c r="F100" s="13"/>
      <c r="G100" s="13"/>
      <c r="H100" s="13"/>
      <c r="I100" s="13"/>
      <c r="J100" s="13"/>
      <c r="K100" s="13"/>
      <c r="L100" s="13"/>
    </row>
    <row r="101" spans="1:12">
      <c r="A101" s="276" t="s">
        <v>270</v>
      </c>
      <c r="B101" s="219"/>
      <c r="C101" s="13"/>
      <c r="D101" s="158"/>
      <c r="E101" s="158"/>
      <c r="F101" s="13"/>
      <c r="G101" s="13"/>
      <c r="H101" s="13"/>
      <c r="I101" s="13"/>
      <c r="J101" s="13"/>
      <c r="K101" s="13"/>
      <c r="L101" s="13"/>
    </row>
    <row r="102" spans="1:12">
      <c r="A102" s="276" t="s">
        <v>271</v>
      </c>
      <c r="B102" s="219"/>
      <c r="C102" s="13"/>
      <c r="D102" s="158"/>
      <c r="E102" s="158"/>
      <c r="F102" s="13"/>
      <c r="G102" s="13"/>
      <c r="H102" s="13"/>
      <c r="I102" s="13"/>
      <c r="J102" s="13"/>
      <c r="K102" s="13"/>
      <c r="L102" s="13"/>
    </row>
    <row r="103" spans="1:12">
      <c r="A103" s="276" t="s">
        <v>272</v>
      </c>
      <c r="B103" s="219"/>
      <c r="C103" s="13"/>
      <c r="D103" s="158"/>
      <c r="E103" s="158"/>
      <c r="F103" s="13"/>
      <c r="G103" s="13"/>
      <c r="H103" s="13"/>
      <c r="I103" s="13"/>
      <c r="J103" s="13"/>
      <c r="K103" s="13"/>
      <c r="L103" s="13"/>
    </row>
    <row r="104" spans="1:12">
      <c r="A104" s="276" t="s">
        <v>273</v>
      </c>
      <c r="B104" s="219"/>
      <c r="C104" s="13"/>
      <c r="D104" s="158"/>
      <c r="E104" s="158"/>
      <c r="F104" s="13"/>
      <c r="G104" s="13"/>
      <c r="H104" s="13"/>
      <c r="I104" s="13"/>
      <c r="J104" s="13"/>
      <c r="K104" s="13"/>
      <c r="L104" s="13"/>
    </row>
    <row r="105" spans="1:12">
      <c r="A105" s="276" t="s">
        <v>274</v>
      </c>
      <c r="B105" s="219"/>
      <c r="C105" s="13"/>
      <c r="D105" s="158"/>
      <c r="E105" s="158"/>
      <c r="F105" s="13"/>
      <c r="G105" s="13"/>
      <c r="H105" s="13"/>
      <c r="I105" s="13"/>
      <c r="J105" s="13"/>
      <c r="K105" s="13"/>
      <c r="L105" s="13"/>
    </row>
    <row r="106" spans="1:12">
      <c r="A106" s="276" t="s">
        <v>275</v>
      </c>
      <c r="B106" s="219"/>
      <c r="C106" s="13"/>
      <c r="D106" s="158"/>
      <c r="E106" s="158"/>
      <c r="F106" s="13"/>
      <c r="G106" s="13"/>
      <c r="H106" s="13"/>
      <c r="I106" s="13"/>
      <c r="J106" s="13"/>
      <c r="K106" s="13"/>
      <c r="L106" s="13"/>
    </row>
    <row r="107" spans="1:12">
      <c r="A107" s="276" t="s">
        <v>264</v>
      </c>
      <c r="B107" s="219"/>
      <c r="C107" s="13"/>
      <c r="D107" s="158"/>
      <c r="E107" s="158"/>
      <c r="F107" s="13"/>
      <c r="G107" s="13"/>
      <c r="H107" s="13"/>
      <c r="I107" s="13"/>
      <c r="J107" s="13"/>
      <c r="K107" s="13"/>
      <c r="L107" s="13"/>
    </row>
    <row r="108" spans="1:12">
      <c r="A108" s="276" t="s">
        <v>265</v>
      </c>
      <c r="B108" s="219"/>
      <c r="C108" s="13"/>
      <c r="D108" s="158"/>
      <c r="E108" s="158"/>
      <c r="F108" s="13"/>
      <c r="G108" s="13"/>
      <c r="H108" s="13"/>
      <c r="I108" s="13"/>
      <c r="J108" s="13"/>
      <c r="K108" s="13"/>
      <c r="L108" s="13"/>
    </row>
    <row r="109" spans="1:12">
      <c r="A109" s="276" t="s">
        <v>266</v>
      </c>
      <c r="B109" s="157"/>
      <c r="C109" s="13"/>
      <c r="D109" s="158"/>
      <c r="E109" s="158"/>
      <c r="F109" s="13"/>
      <c r="G109" s="13"/>
      <c r="H109" s="13"/>
      <c r="I109" s="13"/>
      <c r="J109" s="13"/>
      <c r="K109" s="13"/>
      <c r="L109" s="13"/>
    </row>
    <row r="110" spans="1:12">
      <c r="A110" s="276" t="s">
        <v>267</v>
      </c>
      <c r="B110" s="157"/>
      <c r="C110" s="13"/>
      <c r="D110" s="158"/>
      <c r="E110" s="158"/>
      <c r="F110" s="13"/>
      <c r="G110" s="13"/>
      <c r="H110" s="13"/>
      <c r="I110" s="13"/>
      <c r="J110" s="13"/>
      <c r="K110" s="13"/>
      <c r="L110" s="13"/>
    </row>
    <row r="111" spans="1:12">
      <c r="A111" s="276" t="s">
        <v>268</v>
      </c>
      <c r="B111" s="157"/>
      <c r="C111" s="13"/>
      <c r="D111" s="158"/>
      <c r="E111" s="158"/>
      <c r="F111" s="13"/>
      <c r="G111" s="13"/>
      <c r="H111" s="13"/>
      <c r="I111" s="13"/>
      <c r="J111" s="13"/>
      <c r="K111" s="13"/>
      <c r="L111" s="13"/>
    </row>
    <row r="112" spans="1:12">
      <c r="A112" s="276" t="s">
        <v>269</v>
      </c>
      <c r="B112" s="157"/>
      <c r="C112" s="13"/>
      <c r="D112" s="158"/>
      <c r="E112" s="158"/>
      <c r="F112" s="13"/>
      <c r="G112" s="13"/>
      <c r="H112" s="13"/>
      <c r="I112" s="13"/>
      <c r="J112" s="13"/>
      <c r="K112" s="13"/>
      <c r="L112" s="13"/>
    </row>
    <row r="113" spans="1:12">
      <c r="A113" s="276" t="s">
        <v>270</v>
      </c>
      <c r="B113" s="157"/>
      <c r="C113" s="13"/>
      <c r="D113" s="158"/>
      <c r="E113" s="158"/>
      <c r="F113" s="13"/>
      <c r="G113" s="13"/>
      <c r="H113" s="13"/>
      <c r="I113" s="13"/>
      <c r="J113" s="13"/>
      <c r="K113" s="13"/>
      <c r="L113" s="13"/>
    </row>
    <row r="114" spans="1:12">
      <c r="A114" s="276" t="s">
        <v>271</v>
      </c>
      <c r="B114" s="157"/>
      <c r="C114" s="13"/>
      <c r="D114" s="158"/>
      <c r="E114" s="158"/>
      <c r="F114" s="13"/>
      <c r="G114" s="13"/>
      <c r="H114" s="13"/>
      <c r="I114" s="13"/>
      <c r="J114" s="13"/>
      <c r="K114" s="13"/>
      <c r="L114" s="13"/>
    </row>
    <row r="115" spans="1:12">
      <c r="A115" s="276" t="s">
        <v>272</v>
      </c>
      <c r="B115" s="157"/>
      <c r="C115" s="13"/>
      <c r="D115" s="158"/>
      <c r="E115" s="158"/>
      <c r="F115" s="13"/>
      <c r="G115" s="13"/>
      <c r="H115" s="13"/>
      <c r="I115" s="13"/>
      <c r="J115" s="13"/>
      <c r="K115" s="13"/>
      <c r="L115" s="13"/>
    </row>
    <row r="116" spans="1:12">
      <c r="A116" s="276" t="s">
        <v>273</v>
      </c>
      <c r="B116" s="157"/>
      <c r="C116" s="13"/>
      <c r="D116" s="158"/>
      <c r="E116" s="158"/>
      <c r="F116" s="13"/>
      <c r="G116" s="13"/>
      <c r="H116" s="13"/>
      <c r="I116" s="13"/>
      <c r="J116" s="13"/>
      <c r="K116" s="13"/>
      <c r="L116" s="13"/>
    </row>
    <row r="117" spans="1:12">
      <c r="A117" s="276" t="s">
        <v>274</v>
      </c>
      <c r="B117" s="157"/>
      <c r="C117" s="13"/>
      <c r="D117" s="158"/>
      <c r="E117" s="158"/>
      <c r="F117" s="13"/>
      <c r="G117" s="13"/>
      <c r="H117" s="13"/>
      <c r="I117" s="13"/>
      <c r="J117" s="13"/>
      <c r="K117" s="13"/>
      <c r="L117" s="13"/>
    </row>
    <row r="118" spans="1:12">
      <c r="A118" s="276" t="s">
        <v>275</v>
      </c>
      <c r="B118" s="157"/>
      <c r="C118" s="13"/>
      <c r="D118" s="158"/>
      <c r="E118" s="158"/>
      <c r="F118" s="13"/>
      <c r="G118" s="13"/>
      <c r="H118" s="13"/>
      <c r="I118" s="13"/>
      <c r="J118" s="13"/>
      <c r="K118" s="13"/>
      <c r="L118" s="13"/>
    </row>
    <row r="119" spans="1:12">
      <c r="A119" s="276" t="s">
        <v>264</v>
      </c>
      <c r="B119" s="157"/>
      <c r="C119" s="13"/>
      <c r="D119" s="158"/>
      <c r="E119" s="158"/>
      <c r="F119" s="13"/>
      <c r="G119" s="13"/>
      <c r="H119" s="13"/>
      <c r="I119" s="13"/>
      <c r="J119" s="13"/>
      <c r="K119" s="13"/>
      <c r="L119" s="13"/>
    </row>
    <row r="120" spans="1:12">
      <c r="A120" s="276" t="s">
        <v>265</v>
      </c>
      <c r="B120" s="157"/>
      <c r="C120" s="13"/>
      <c r="D120" s="158"/>
      <c r="E120" s="158"/>
      <c r="F120" s="13"/>
      <c r="G120" s="13"/>
      <c r="H120" s="13"/>
      <c r="I120" s="13"/>
      <c r="J120" s="13"/>
      <c r="K120" s="13"/>
      <c r="L120" s="13"/>
    </row>
    <row r="121" spans="1:12">
      <c r="A121" s="276" t="s">
        <v>266</v>
      </c>
      <c r="B121" s="157"/>
      <c r="C121" s="13"/>
      <c r="D121" s="158"/>
      <c r="E121" s="158"/>
      <c r="F121" s="13"/>
      <c r="G121" s="13"/>
      <c r="H121" s="13"/>
      <c r="I121" s="13"/>
      <c r="J121" s="13"/>
      <c r="K121" s="13"/>
      <c r="L121" s="13"/>
    </row>
    <row r="122" spans="1:12">
      <c r="A122" s="276" t="s">
        <v>267</v>
      </c>
      <c r="B122" s="157"/>
      <c r="C122" s="13"/>
      <c r="D122" s="158"/>
      <c r="E122" s="158"/>
      <c r="F122" s="13"/>
      <c r="G122" s="13"/>
      <c r="H122" s="13"/>
      <c r="I122" s="13"/>
      <c r="J122" s="13"/>
      <c r="K122" s="13"/>
      <c r="L122" s="13"/>
    </row>
    <row r="123" spans="1:12">
      <c r="A123" s="276" t="s">
        <v>268</v>
      </c>
      <c r="B123" s="157"/>
      <c r="C123" s="13"/>
      <c r="D123" s="158"/>
      <c r="E123" s="158"/>
      <c r="F123" s="13"/>
      <c r="G123" s="13"/>
      <c r="H123" s="13"/>
      <c r="I123" s="13"/>
      <c r="J123" s="13"/>
      <c r="K123" s="13"/>
      <c r="L123" s="13"/>
    </row>
    <row r="124" spans="1:12">
      <c r="A124" s="276" t="s">
        <v>269</v>
      </c>
      <c r="B124" s="157"/>
      <c r="C124" s="13"/>
      <c r="D124" s="158"/>
      <c r="E124" s="158"/>
      <c r="F124" s="13"/>
      <c r="G124" s="13"/>
      <c r="H124" s="13"/>
      <c r="I124" s="13"/>
      <c r="J124" s="13"/>
      <c r="K124" s="13"/>
      <c r="L124" s="13"/>
    </row>
    <row r="125" spans="1:12">
      <c r="A125" s="276" t="s">
        <v>270</v>
      </c>
      <c r="B125" s="157"/>
      <c r="C125" s="13"/>
      <c r="D125" s="158"/>
      <c r="E125" s="158"/>
      <c r="F125" s="13"/>
      <c r="G125" s="13"/>
      <c r="H125" s="13"/>
      <c r="I125" s="13"/>
      <c r="J125" s="13"/>
      <c r="K125" s="13"/>
      <c r="L125" s="13"/>
    </row>
    <row r="126" spans="1:12">
      <c r="A126" s="276" t="s">
        <v>271</v>
      </c>
      <c r="B126" s="157"/>
      <c r="C126" s="13"/>
      <c r="D126" s="158"/>
      <c r="E126" s="158"/>
      <c r="F126" s="13"/>
      <c r="G126" s="13"/>
      <c r="H126" s="13"/>
      <c r="I126" s="13"/>
      <c r="J126" s="13"/>
      <c r="K126" s="13"/>
      <c r="L126" s="13"/>
    </row>
    <row r="127" spans="1:12">
      <c r="A127" s="276" t="s">
        <v>272</v>
      </c>
      <c r="B127" s="157"/>
      <c r="C127" s="13"/>
      <c r="D127" s="158"/>
      <c r="E127" s="158"/>
      <c r="F127" s="13"/>
      <c r="G127" s="13"/>
      <c r="H127" s="13"/>
      <c r="I127" s="13"/>
      <c r="J127" s="13"/>
      <c r="K127" s="13"/>
      <c r="L127" s="13"/>
    </row>
    <row r="128" spans="1:12">
      <c r="A128" s="276" t="s">
        <v>273</v>
      </c>
      <c r="B128" s="157"/>
      <c r="C128" s="13"/>
      <c r="D128" s="158"/>
      <c r="E128" s="158"/>
      <c r="F128" s="13"/>
      <c r="G128" s="13"/>
      <c r="H128" s="13"/>
      <c r="I128" s="13"/>
      <c r="J128" s="13"/>
      <c r="K128" s="13"/>
      <c r="L128" s="13"/>
    </row>
    <row r="129" spans="1:12">
      <c r="A129" s="276" t="s">
        <v>274</v>
      </c>
      <c r="B129" s="157"/>
      <c r="C129" s="13"/>
      <c r="D129" s="158"/>
      <c r="E129" s="158"/>
      <c r="F129" s="13"/>
      <c r="G129" s="13"/>
      <c r="H129" s="13"/>
      <c r="I129" s="13"/>
      <c r="J129" s="13"/>
      <c r="K129" s="13"/>
      <c r="L129" s="13"/>
    </row>
    <row r="130" spans="1:12">
      <c r="A130" s="276" t="s">
        <v>275</v>
      </c>
      <c r="B130" s="157"/>
      <c r="C130" s="13"/>
      <c r="D130" s="158"/>
      <c r="E130" s="158"/>
      <c r="F130" s="13"/>
      <c r="G130" s="13"/>
      <c r="H130" s="13"/>
      <c r="I130" s="13"/>
      <c r="J130" s="13"/>
      <c r="K130" s="13"/>
      <c r="L130" s="13"/>
    </row>
    <row r="131" spans="1:12">
      <c r="A131" s="276" t="s">
        <v>264</v>
      </c>
      <c r="B131" s="157"/>
      <c r="C131" s="13"/>
      <c r="D131" s="158"/>
      <c r="E131" s="158"/>
      <c r="F131" s="13"/>
      <c r="G131" s="13"/>
      <c r="H131" s="13"/>
      <c r="I131" s="13"/>
      <c r="J131" s="13"/>
      <c r="K131" s="13"/>
      <c r="L131" s="13"/>
    </row>
    <row r="132" spans="1:12">
      <c r="A132" s="276" t="s">
        <v>265</v>
      </c>
      <c r="B132" s="157"/>
      <c r="C132" s="13"/>
      <c r="D132" s="158"/>
      <c r="E132" s="158"/>
      <c r="F132" s="13"/>
      <c r="G132" s="13"/>
      <c r="H132" s="13"/>
      <c r="I132" s="13"/>
      <c r="J132" s="13"/>
      <c r="K132" s="13"/>
      <c r="L132" s="13"/>
    </row>
    <row r="133" spans="1:12">
      <c r="A133" s="276" t="s">
        <v>266</v>
      </c>
      <c r="B133" s="157"/>
      <c r="C133" s="13"/>
      <c r="D133" s="158"/>
      <c r="E133" s="158"/>
      <c r="F133" s="13"/>
      <c r="G133" s="13"/>
      <c r="H133" s="13"/>
      <c r="I133" s="13"/>
      <c r="J133" s="13"/>
      <c r="K133" s="13"/>
      <c r="L133" s="13"/>
    </row>
    <row r="134" spans="1:12">
      <c r="A134" s="276" t="s">
        <v>267</v>
      </c>
      <c r="B134" s="157"/>
      <c r="C134" s="13"/>
      <c r="D134" s="158"/>
      <c r="E134" s="158"/>
      <c r="F134" s="13"/>
      <c r="G134" s="13"/>
      <c r="H134" s="13"/>
      <c r="I134" s="13"/>
      <c r="J134" s="13"/>
      <c r="K134" s="13"/>
      <c r="L134" s="13"/>
    </row>
    <row r="135" spans="1:12">
      <c r="A135" s="276" t="s">
        <v>268</v>
      </c>
      <c r="B135" s="157"/>
      <c r="C135" s="13"/>
      <c r="D135" s="158"/>
      <c r="E135" s="158"/>
      <c r="F135" s="13"/>
      <c r="G135" s="13"/>
      <c r="H135" s="13"/>
      <c r="I135" s="13"/>
      <c r="J135" s="13"/>
      <c r="K135" s="13"/>
      <c r="L135" s="13"/>
    </row>
    <row r="136" spans="1:12">
      <c r="A136" s="276" t="s">
        <v>269</v>
      </c>
      <c r="B136" s="157"/>
      <c r="C136" s="13"/>
      <c r="D136" s="158"/>
      <c r="E136" s="158"/>
      <c r="F136" s="13"/>
      <c r="G136" s="13"/>
      <c r="H136" s="13"/>
      <c r="I136" s="13"/>
      <c r="J136" s="13"/>
      <c r="K136" s="13"/>
      <c r="L136" s="13"/>
    </row>
    <row r="137" spans="1:12">
      <c r="A137" s="276" t="s">
        <v>270</v>
      </c>
      <c r="B137" s="157"/>
      <c r="C137" s="13"/>
      <c r="D137" s="158"/>
      <c r="E137" s="158"/>
      <c r="F137" s="13"/>
      <c r="G137" s="13"/>
      <c r="H137" s="13"/>
      <c r="I137" s="13"/>
      <c r="J137" s="13"/>
      <c r="K137" s="13"/>
      <c r="L137" s="13"/>
    </row>
    <row r="138" spans="1:12">
      <c r="A138" s="276" t="s">
        <v>271</v>
      </c>
      <c r="B138" s="157"/>
      <c r="C138" s="13"/>
      <c r="D138" s="158"/>
      <c r="E138" s="158"/>
      <c r="F138" s="13"/>
      <c r="G138" s="13"/>
      <c r="H138" s="13"/>
      <c r="I138" s="13"/>
      <c r="J138" s="13"/>
      <c r="K138" s="13"/>
      <c r="L138" s="13"/>
    </row>
    <row r="139" spans="1:12">
      <c r="A139" s="276" t="s">
        <v>272</v>
      </c>
      <c r="B139" s="13"/>
      <c r="C139" s="13"/>
      <c r="D139" s="158"/>
      <c r="E139" s="158"/>
      <c r="F139" s="13"/>
      <c r="G139" s="13"/>
      <c r="H139" s="13"/>
      <c r="I139" s="13"/>
      <c r="J139" s="13"/>
      <c r="K139" s="13"/>
      <c r="L139" s="13"/>
    </row>
    <row r="140" spans="1:12">
      <c r="A140" s="276" t="s">
        <v>273</v>
      </c>
      <c r="B140" s="13"/>
      <c r="C140" s="13"/>
      <c r="D140" s="158"/>
      <c r="E140" s="158"/>
      <c r="F140" s="13"/>
      <c r="G140" s="13"/>
      <c r="H140" s="13"/>
      <c r="I140" s="13"/>
      <c r="J140" s="13"/>
      <c r="K140" s="13"/>
      <c r="L140" s="13"/>
    </row>
    <row r="141" spans="1:12">
      <c r="A141" s="276" t="s">
        <v>274</v>
      </c>
      <c r="B141" s="13"/>
      <c r="C141" s="13"/>
      <c r="D141" s="158"/>
      <c r="E141" s="158"/>
      <c r="F141" s="13"/>
      <c r="G141" s="13"/>
      <c r="H141" s="13"/>
      <c r="I141" s="13"/>
      <c r="J141" s="13"/>
      <c r="K141" s="13"/>
      <c r="L141" s="13"/>
    </row>
    <row r="142" spans="1:12">
      <c r="A142" s="276" t="s">
        <v>275</v>
      </c>
      <c r="B142" s="13"/>
      <c r="C142" s="13"/>
      <c r="D142" s="158"/>
      <c r="E142" s="158"/>
      <c r="F142" s="13"/>
      <c r="G142" s="13"/>
      <c r="H142" s="13"/>
      <c r="I142" s="13"/>
      <c r="J142" s="13"/>
      <c r="K142" s="13"/>
      <c r="L142" s="13"/>
    </row>
    <row r="143" spans="1:12">
      <c r="A143" s="276" t="s">
        <v>264</v>
      </c>
      <c r="B143" s="13"/>
      <c r="C143" s="13"/>
      <c r="D143" s="158"/>
      <c r="E143" s="158"/>
      <c r="F143" s="13"/>
      <c r="G143" s="13"/>
      <c r="H143" s="13"/>
      <c r="I143" s="13"/>
      <c r="J143" s="13"/>
      <c r="K143" s="13"/>
      <c r="L143" s="13"/>
    </row>
    <row r="144" spans="1:12">
      <c r="A144" s="276" t="s">
        <v>265</v>
      </c>
      <c r="B144" s="13"/>
      <c r="C144" s="13"/>
      <c r="D144" s="158"/>
      <c r="E144" s="158"/>
      <c r="F144" s="13"/>
      <c r="G144" s="13"/>
      <c r="H144" s="13"/>
      <c r="I144" s="13"/>
      <c r="J144" s="13"/>
      <c r="K144" s="13"/>
      <c r="L144" s="13"/>
    </row>
    <row r="145" spans="1:12">
      <c r="A145" s="276" t="s">
        <v>266</v>
      </c>
      <c r="B145" s="13"/>
      <c r="C145" s="13"/>
      <c r="D145" s="158"/>
      <c r="E145" s="158"/>
      <c r="F145" s="13"/>
      <c r="G145" s="13"/>
      <c r="H145" s="13"/>
      <c r="I145" s="13"/>
      <c r="J145" s="13"/>
      <c r="K145" s="13"/>
      <c r="L145" s="13"/>
    </row>
    <row r="146" spans="1:12">
      <c r="A146" s="276" t="s">
        <v>267</v>
      </c>
      <c r="B146" s="13"/>
      <c r="C146" s="13"/>
      <c r="D146" s="158"/>
      <c r="E146" s="158"/>
      <c r="F146" s="13"/>
      <c r="G146" s="13"/>
      <c r="H146" s="13"/>
      <c r="I146" s="13"/>
      <c r="J146" s="13"/>
      <c r="K146" s="13"/>
      <c r="L146" s="13"/>
    </row>
    <row r="147" spans="1:12">
      <c r="A147" s="276" t="s">
        <v>268</v>
      </c>
      <c r="B147" s="13"/>
      <c r="C147" s="13"/>
      <c r="D147" s="158"/>
      <c r="E147" s="158"/>
      <c r="F147" s="13"/>
      <c r="G147" s="13"/>
      <c r="H147" s="13"/>
      <c r="I147" s="13"/>
      <c r="J147" s="13"/>
      <c r="K147" s="13"/>
      <c r="L147" s="13"/>
    </row>
    <row r="148" spans="1:12">
      <c r="A148" s="276" t="s">
        <v>269</v>
      </c>
      <c r="B148" s="13"/>
      <c r="C148" s="13"/>
      <c r="D148" s="158"/>
      <c r="E148" s="158"/>
      <c r="F148" s="13"/>
      <c r="G148" s="13"/>
      <c r="H148" s="13"/>
      <c r="I148" s="13"/>
      <c r="J148" s="13"/>
      <c r="K148" s="13"/>
      <c r="L148" s="13"/>
    </row>
    <row r="149" spans="1:12">
      <c r="A149" s="276" t="s">
        <v>270</v>
      </c>
      <c r="B149" s="13"/>
      <c r="C149" s="13"/>
      <c r="D149" s="158"/>
      <c r="E149" s="158"/>
      <c r="F149" s="13"/>
      <c r="G149" s="13"/>
      <c r="H149" s="13"/>
      <c r="I149" s="13"/>
      <c r="J149" s="13"/>
      <c r="K149" s="13"/>
      <c r="L149" s="13"/>
    </row>
    <row r="150" spans="1:12">
      <c r="A150" s="276" t="s">
        <v>271</v>
      </c>
      <c r="B150" s="13"/>
      <c r="C150" s="13"/>
      <c r="D150" s="158"/>
      <c r="E150" s="158"/>
      <c r="F150" s="13"/>
      <c r="G150" s="13"/>
      <c r="H150" s="13"/>
      <c r="I150" s="13"/>
      <c r="J150" s="13"/>
      <c r="K150" s="13"/>
      <c r="L150" s="13"/>
    </row>
    <row r="151" spans="1:12">
      <c r="A151" s="276" t="s">
        <v>272</v>
      </c>
      <c r="B151" s="13"/>
      <c r="C151" s="13"/>
      <c r="D151" s="158"/>
      <c r="E151" s="158"/>
      <c r="F151" s="13"/>
      <c r="G151" s="13"/>
      <c r="H151" s="13"/>
      <c r="I151" s="13"/>
      <c r="J151" s="13"/>
      <c r="K151" s="13"/>
      <c r="L151" s="13"/>
    </row>
    <row r="152" spans="1:12">
      <c r="A152" s="276" t="s">
        <v>273</v>
      </c>
      <c r="B152" s="13"/>
      <c r="C152" s="13"/>
      <c r="D152" s="158"/>
      <c r="E152" s="158"/>
      <c r="F152" s="13"/>
      <c r="G152" s="13"/>
      <c r="H152" s="13"/>
      <c r="I152" s="13"/>
      <c r="J152" s="13"/>
      <c r="K152" s="13"/>
      <c r="L152" s="13"/>
    </row>
    <row r="153" spans="1:12">
      <c r="A153" s="276" t="s">
        <v>274</v>
      </c>
      <c r="B153" s="13"/>
      <c r="C153" s="13"/>
      <c r="D153" s="158"/>
      <c r="E153" s="158"/>
      <c r="F153" s="13"/>
      <c r="G153" s="13"/>
      <c r="H153" s="13"/>
      <c r="I153" s="13"/>
      <c r="J153" s="13"/>
      <c r="K153" s="13"/>
      <c r="L153" s="13"/>
    </row>
    <row r="154" spans="1:12">
      <c r="A154" s="276" t="s">
        <v>275</v>
      </c>
      <c r="B154" s="13"/>
      <c r="C154" s="13"/>
      <c r="D154" s="158"/>
      <c r="E154" s="158"/>
      <c r="F154" s="13"/>
      <c r="G154" s="13"/>
      <c r="H154" s="13"/>
      <c r="I154" s="13"/>
      <c r="J154" s="13"/>
      <c r="K154" s="13"/>
      <c r="L154" s="13"/>
    </row>
    <row r="155" spans="1:12">
      <c r="A155" s="276" t="s">
        <v>264</v>
      </c>
      <c r="B155" s="13"/>
      <c r="C155" s="13"/>
      <c r="D155" s="158"/>
      <c r="E155" s="158"/>
      <c r="F155" s="13"/>
      <c r="G155" s="13"/>
      <c r="H155" s="13"/>
      <c r="I155" s="13"/>
      <c r="J155" s="13"/>
      <c r="K155" s="13"/>
      <c r="L155" s="13"/>
    </row>
    <row r="156" spans="1:12">
      <c r="A156" s="276" t="s">
        <v>265</v>
      </c>
      <c r="B156" s="13"/>
      <c r="C156" s="13"/>
      <c r="D156" s="158"/>
      <c r="E156" s="158"/>
      <c r="F156" s="13"/>
      <c r="G156" s="13"/>
      <c r="H156" s="13"/>
      <c r="I156" s="13"/>
      <c r="J156" s="13"/>
      <c r="K156" s="13"/>
      <c r="L156" s="13"/>
    </row>
    <row r="157" spans="1:12">
      <c r="A157" s="276" t="s">
        <v>266</v>
      </c>
      <c r="B157" s="13"/>
      <c r="C157" s="13"/>
      <c r="D157" s="158"/>
      <c r="E157" s="158"/>
      <c r="F157" s="13"/>
      <c r="G157" s="13"/>
      <c r="H157" s="13"/>
      <c r="I157" s="13"/>
      <c r="J157" s="13"/>
      <c r="K157" s="13"/>
      <c r="L157" s="13"/>
    </row>
    <row r="158" spans="1:12">
      <c r="A158" s="276" t="s">
        <v>267</v>
      </c>
      <c r="B158" s="13"/>
      <c r="C158" s="13"/>
      <c r="D158" s="158"/>
      <c r="E158" s="158"/>
      <c r="F158" s="13"/>
      <c r="G158" s="13"/>
      <c r="H158" s="13"/>
      <c r="I158" s="13"/>
      <c r="J158" s="13"/>
      <c r="K158" s="13"/>
      <c r="L158" s="13"/>
    </row>
    <row r="159" spans="1:12">
      <c r="A159" s="276" t="s">
        <v>268</v>
      </c>
      <c r="B159" s="13"/>
      <c r="C159" s="13"/>
      <c r="D159" s="158"/>
      <c r="E159" s="158"/>
      <c r="F159" s="13"/>
      <c r="G159" s="13"/>
      <c r="H159" s="13"/>
      <c r="I159" s="13"/>
      <c r="J159" s="13"/>
      <c r="K159" s="13"/>
      <c r="L159" s="13"/>
    </row>
    <row r="160" spans="1:12">
      <c r="A160" s="276" t="s">
        <v>269</v>
      </c>
      <c r="B160" s="13"/>
      <c r="C160" s="13"/>
      <c r="D160" s="158"/>
      <c r="E160" s="158"/>
      <c r="F160" s="13"/>
      <c r="G160" s="13"/>
      <c r="H160" s="13"/>
      <c r="I160" s="13"/>
      <c r="J160" s="13"/>
      <c r="K160" s="13"/>
      <c r="L160" s="13"/>
    </row>
    <row r="161" spans="1:12">
      <c r="A161" s="276" t="s">
        <v>270</v>
      </c>
      <c r="B161" s="13"/>
      <c r="C161" s="13"/>
      <c r="D161" s="158"/>
      <c r="E161" s="158"/>
      <c r="F161" s="13"/>
      <c r="G161" s="13"/>
      <c r="H161" s="13"/>
      <c r="I161" s="13"/>
      <c r="J161" s="13"/>
      <c r="K161" s="13"/>
      <c r="L161" s="13"/>
    </row>
    <row r="162" spans="1:12">
      <c r="A162" s="276" t="s">
        <v>271</v>
      </c>
      <c r="B162" s="13"/>
      <c r="C162" s="13"/>
      <c r="D162" s="158"/>
      <c r="E162" s="158"/>
      <c r="F162" s="13"/>
      <c r="G162" s="13"/>
      <c r="H162" s="13"/>
      <c r="I162" s="13"/>
      <c r="J162" s="13"/>
      <c r="K162" s="13"/>
      <c r="L162" s="13"/>
    </row>
    <row r="163" spans="1:12">
      <c r="A163" s="276" t="s">
        <v>272</v>
      </c>
      <c r="B163" s="13"/>
      <c r="C163" s="13"/>
      <c r="D163" s="158"/>
      <c r="E163" s="158"/>
      <c r="F163" s="13"/>
      <c r="G163" s="13"/>
      <c r="H163" s="13"/>
      <c r="I163" s="13"/>
      <c r="J163" s="13"/>
      <c r="K163" s="13"/>
      <c r="L163" s="13"/>
    </row>
    <row r="164" spans="1:12">
      <c r="A164" s="276" t="s">
        <v>273</v>
      </c>
      <c r="B164" s="13"/>
      <c r="C164" s="13"/>
      <c r="D164" s="158"/>
      <c r="E164" s="158"/>
      <c r="F164" s="13"/>
      <c r="G164" s="13"/>
      <c r="H164" s="13"/>
      <c r="I164" s="13"/>
      <c r="J164" s="13"/>
      <c r="K164" s="13"/>
      <c r="L164" s="13"/>
    </row>
    <row r="165" spans="1:12">
      <c r="A165" s="276" t="s">
        <v>274</v>
      </c>
      <c r="B165" s="13"/>
      <c r="C165" s="13"/>
      <c r="D165" s="158"/>
      <c r="E165" s="158"/>
      <c r="F165" s="13"/>
      <c r="G165" s="13"/>
      <c r="H165" s="13"/>
      <c r="I165" s="13"/>
      <c r="J165" s="13"/>
      <c r="K165" s="13"/>
      <c r="L165" s="13"/>
    </row>
    <row r="166" spans="1:12">
      <c r="A166" s="276" t="s">
        <v>275</v>
      </c>
      <c r="B166" s="13"/>
      <c r="C166" s="13"/>
      <c r="D166" s="158"/>
      <c r="E166" s="158"/>
      <c r="F166" s="13"/>
      <c r="G166" s="13"/>
      <c r="H166" s="13"/>
      <c r="I166" s="13"/>
      <c r="J166" s="13"/>
      <c r="K166" s="13"/>
      <c r="L166" s="13"/>
    </row>
    <row r="167" spans="1:12">
      <c r="A167" s="276" t="s">
        <v>264</v>
      </c>
      <c r="B167" s="13"/>
      <c r="C167" s="13"/>
      <c r="D167" s="158"/>
      <c r="E167" s="158"/>
      <c r="F167" s="13"/>
      <c r="G167" s="13"/>
      <c r="H167" s="13"/>
      <c r="I167" s="13"/>
      <c r="J167" s="13"/>
      <c r="K167" s="13"/>
      <c r="L167" s="13"/>
    </row>
    <row r="168" spans="1:12">
      <c r="A168" s="276" t="s">
        <v>265</v>
      </c>
      <c r="B168" s="13"/>
      <c r="C168" s="13"/>
      <c r="D168" s="158"/>
      <c r="E168" s="158"/>
      <c r="F168" s="13"/>
      <c r="G168" s="13"/>
      <c r="H168" s="13"/>
      <c r="I168" s="13"/>
      <c r="J168" s="13"/>
      <c r="K168" s="13"/>
      <c r="L168" s="13"/>
    </row>
    <row r="169" spans="1:12">
      <c r="A169" s="276" t="s">
        <v>266</v>
      </c>
      <c r="B169" s="13"/>
      <c r="C169" s="13"/>
      <c r="D169" s="158"/>
      <c r="E169" s="158"/>
      <c r="F169" s="13"/>
      <c r="G169" s="13"/>
      <c r="H169" s="13"/>
      <c r="I169" s="13"/>
      <c r="J169" s="13"/>
      <c r="K169" s="13"/>
      <c r="L169" s="13"/>
    </row>
    <row r="170" spans="1:12">
      <c r="A170" s="276" t="s">
        <v>267</v>
      </c>
      <c r="B170" s="13"/>
      <c r="C170" s="13"/>
      <c r="D170" s="158"/>
      <c r="E170" s="158"/>
      <c r="F170" s="13"/>
      <c r="G170" s="13"/>
      <c r="H170" s="13"/>
      <c r="I170" s="13"/>
      <c r="J170" s="13"/>
      <c r="K170" s="13"/>
      <c r="L170" s="13"/>
    </row>
    <row r="171" spans="1:12">
      <c r="A171" s="276" t="s">
        <v>268</v>
      </c>
      <c r="B171" s="13"/>
      <c r="C171" s="13"/>
      <c r="D171" s="158"/>
      <c r="E171" s="158"/>
      <c r="F171" s="13"/>
      <c r="G171" s="13"/>
      <c r="H171" s="13"/>
      <c r="I171" s="13"/>
      <c r="J171" s="13"/>
      <c r="K171" s="13"/>
      <c r="L171" s="13"/>
    </row>
    <row r="172" spans="1:12">
      <c r="A172" s="276" t="s">
        <v>269</v>
      </c>
      <c r="B172" s="13"/>
      <c r="C172" s="13"/>
      <c r="D172" s="158"/>
      <c r="E172" s="158"/>
      <c r="F172" s="13"/>
      <c r="G172" s="13"/>
      <c r="H172" s="13"/>
      <c r="I172" s="13"/>
      <c r="J172" s="13"/>
      <c r="K172" s="13"/>
      <c r="L172" s="13"/>
    </row>
    <row r="173" spans="1:12">
      <c r="A173" s="276" t="s">
        <v>270</v>
      </c>
      <c r="B173" s="13"/>
      <c r="C173" s="13"/>
      <c r="D173" s="158"/>
      <c r="E173" s="158"/>
      <c r="F173" s="13"/>
      <c r="G173" s="13"/>
      <c r="H173" s="13"/>
      <c r="I173" s="13"/>
      <c r="J173" s="13"/>
      <c r="K173" s="13"/>
      <c r="L173" s="13"/>
    </row>
    <row r="174" spans="1:12">
      <c r="A174" s="276" t="s">
        <v>271</v>
      </c>
      <c r="B174" s="13"/>
      <c r="C174" s="13"/>
      <c r="D174" s="158"/>
      <c r="E174" s="158"/>
      <c r="F174" s="13"/>
      <c r="G174" s="13"/>
      <c r="H174" s="13"/>
      <c r="I174" s="13"/>
      <c r="J174" s="13"/>
      <c r="K174" s="13"/>
      <c r="L174" s="13"/>
    </row>
    <row r="175" spans="1:12">
      <c r="A175" s="276" t="s">
        <v>272</v>
      </c>
      <c r="B175" s="13"/>
      <c r="C175" s="13"/>
      <c r="D175" s="158"/>
      <c r="E175" s="158"/>
      <c r="F175" s="13"/>
      <c r="G175" s="13"/>
      <c r="H175" s="13"/>
      <c r="I175" s="13"/>
      <c r="J175" s="13"/>
      <c r="K175" s="13"/>
      <c r="L175" s="13"/>
    </row>
    <row r="176" spans="1:12">
      <c r="A176" s="276" t="s">
        <v>273</v>
      </c>
      <c r="B176" s="13"/>
      <c r="C176" s="13"/>
      <c r="D176" s="158"/>
      <c r="E176" s="158"/>
      <c r="F176" s="13"/>
      <c r="G176" s="13"/>
      <c r="H176" s="13"/>
      <c r="I176" s="13"/>
      <c r="J176" s="13"/>
      <c r="K176" s="13"/>
      <c r="L176" s="13"/>
    </row>
    <row r="177" spans="1:12">
      <c r="A177" s="276" t="s">
        <v>274</v>
      </c>
      <c r="B177" s="13"/>
      <c r="C177" s="13"/>
      <c r="D177" s="158"/>
      <c r="E177" s="158"/>
      <c r="F177" s="13"/>
      <c r="G177" s="13"/>
      <c r="H177" s="13"/>
      <c r="I177" s="13"/>
      <c r="J177" s="13"/>
      <c r="K177" s="13"/>
      <c r="L177" s="13"/>
    </row>
    <row r="178" spans="1:12">
      <c r="A178" s="276" t="s">
        <v>275</v>
      </c>
      <c r="B178" s="13"/>
      <c r="C178" s="13"/>
      <c r="D178" s="158"/>
      <c r="E178" s="158"/>
      <c r="F178" s="13"/>
      <c r="G178" s="13"/>
      <c r="H178" s="13"/>
      <c r="I178" s="13"/>
      <c r="J178" s="13"/>
      <c r="K178" s="13"/>
      <c r="L178" s="13"/>
    </row>
    <row r="179" spans="1:12">
      <c r="A179" s="276" t="s">
        <v>264</v>
      </c>
      <c r="B179" s="13"/>
      <c r="C179" s="13"/>
      <c r="D179" s="158"/>
      <c r="E179" s="158"/>
      <c r="F179" s="13"/>
      <c r="G179" s="13"/>
      <c r="H179" s="13"/>
      <c r="I179" s="13"/>
      <c r="J179" s="13"/>
      <c r="K179" s="13"/>
      <c r="L179" s="13"/>
    </row>
    <row r="180" spans="1:12">
      <c r="A180" s="276" t="s">
        <v>265</v>
      </c>
      <c r="B180" s="13"/>
      <c r="C180" s="13"/>
      <c r="D180" s="158"/>
      <c r="E180" s="158"/>
      <c r="F180" s="13"/>
      <c r="G180" s="13"/>
      <c r="H180" s="13"/>
      <c r="I180" s="13"/>
      <c r="J180" s="13"/>
      <c r="K180" s="13"/>
      <c r="L180" s="13"/>
    </row>
    <row r="181" spans="1:12">
      <c r="A181" s="276" t="s">
        <v>266</v>
      </c>
      <c r="B181" s="13"/>
      <c r="C181" s="13"/>
      <c r="D181" s="158"/>
      <c r="E181" s="158"/>
      <c r="F181" s="13"/>
      <c r="G181" s="13"/>
      <c r="H181" s="13"/>
      <c r="I181" s="13"/>
      <c r="J181" s="13"/>
      <c r="K181" s="13"/>
      <c r="L181" s="13"/>
    </row>
    <row r="182" spans="1:12">
      <c r="A182" s="276" t="s">
        <v>267</v>
      </c>
      <c r="B182" s="13"/>
      <c r="C182" s="13"/>
      <c r="D182" s="158"/>
      <c r="E182" s="158"/>
      <c r="F182" s="13"/>
      <c r="G182" s="13"/>
      <c r="H182" s="13"/>
      <c r="I182" s="13"/>
      <c r="J182" s="13"/>
      <c r="K182" s="13"/>
      <c r="L182" s="13"/>
    </row>
    <row r="183" spans="1:12">
      <c r="A183" s="276" t="s">
        <v>268</v>
      </c>
      <c r="B183" s="13"/>
      <c r="C183" s="13"/>
      <c r="D183" s="158"/>
      <c r="E183" s="158"/>
      <c r="F183" s="13"/>
      <c r="G183" s="13"/>
      <c r="H183" s="13"/>
      <c r="I183" s="13"/>
      <c r="J183" s="13"/>
      <c r="K183" s="13"/>
      <c r="L183" s="13"/>
    </row>
    <row r="184" spans="1:12">
      <c r="A184" s="276" t="s">
        <v>269</v>
      </c>
      <c r="B184" s="13"/>
      <c r="C184" s="13"/>
      <c r="D184" s="158"/>
      <c r="E184" s="158"/>
      <c r="F184" s="13"/>
      <c r="G184" s="13"/>
      <c r="H184" s="13"/>
      <c r="I184" s="13"/>
      <c r="J184" s="13"/>
      <c r="K184" s="13"/>
      <c r="L184" s="13"/>
    </row>
    <row r="185" spans="1:12">
      <c r="A185" s="276" t="s">
        <v>270</v>
      </c>
      <c r="B185" s="13"/>
      <c r="C185" s="13"/>
      <c r="D185" s="158"/>
      <c r="E185" s="158"/>
      <c r="F185" s="13"/>
      <c r="G185" s="13"/>
      <c r="H185" s="13"/>
      <c r="I185" s="13"/>
      <c r="J185" s="13"/>
      <c r="K185" s="13"/>
      <c r="L185" s="13"/>
    </row>
    <row r="186" spans="1:12">
      <c r="A186" s="276" t="s">
        <v>271</v>
      </c>
      <c r="B186" s="13"/>
      <c r="C186" s="13"/>
      <c r="D186" s="158"/>
      <c r="E186" s="158"/>
      <c r="F186" s="13"/>
      <c r="G186" s="13"/>
      <c r="H186" s="13"/>
      <c r="I186" s="13"/>
      <c r="J186" s="13"/>
      <c r="K186" s="13"/>
      <c r="L186" s="13"/>
    </row>
    <row r="187" spans="1:12">
      <c r="A187" s="276" t="s">
        <v>272</v>
      </c>
      <c r="B187" s="13"/>
      <c r="C187" s="13"/>
      <c r="D187" s="158"/>
      <c r="E187" s="158"/>
      <c r="F187" s="13"/>
      <c r="G187" s="13"/>
      <c r="H187" s="13"/>
      <c r="I187" s="13"/>
      <c r="J187" s="13"/>
      <c r="K187" s="13"/>
      <c r="L187" s="13"/>
    </row>
    <row r="188" spans="1:12">
      <c r="A188" s="276" t="s">
        <v>273</v>
      </c>
      <c r="B188" s="13"/>
      <c r="C188" s="13"/>
      <c r="D188" s="158"/>
      <c r="E188" s="158"/>
      <c r="F188" s="13"/>
      <c r="G188" s="13"/>
      <c r="H188" s="13"/>
      <c r="I188" s="13"/>
      <c r="J188" s="13"/>
      <c r="K188" s="13"/>
      <c r="L188" s="13"/>
    </row>
    <row r="189" spans="1:12">
      <c r="A189" s="276" t="s">
        <v>274</v>
      </c>
      <c r="B189" s="13"/>
      <c r="C189" s="13"/>
      <c r="D189" s="158"/>
      <c r="E189" s="158"/>
      <c r="F189" s="13"/>
      <c r="G189" s="13"/>
      <c r="H189" s="13"/>
      <c r="I189" s="13"/>
      <c r="J189" s="13"/>
      <c r="K189" s="13"/>
      <c r="L189" s="13"/>
    </row>
    <row r="190" spans="1:12">
      <c r="A190" s="276" t="s">
        <v>275</v>
      </c>
      <c r="B190" s="13"/>
      <c r="C190" s="13"/>
      <c r="D190" s="158"/>
      <c r="E190" s="158"/>
      <c r="F190" s="13"/>
      <c r="G190" s="13"/>
      <c r="H190" s="13"/>
      <c r="I190" s="13"/>
      <c r="J190" s="13"/>
      <c r="K190" s="13"/>
      <c r="L190" s="13"/>
    </row>
  </sheetData>
  <mergeCells count="2">
    <mergeCell ref="J26:L26"/>
    <mergeCell ref="A16:G16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G5" sqref="G5"/>
    </sheetView>
  </sheetViews>
  <sheetFormatPr baseColWidth="10" defaultRowHeight="15" x14ac:dyDescent="0"/>
  <cols>
    <col min="1" max="1" width="22" customWidth="1"/>
    <col min="2" max="2" width="17.1640625" customWidth="1"/>
    <col min="3" max="3" width="13" customWidth="1"/>
    <col min="4" max="4" width="18.1640625" customWidth="1"/>
    <col min="5" max="6" width="22.1640625" customWidth="1"/>
    <col min="7" max="7" width="29.33203125" customWidth="1"/>
    <col min="8" max="8" width="17.83203125" customWidth="1"/>
  </cols>
  <sheetData>
    <row r="1" spans="1:9">
      <c r="A1" s="2" t="s">
        <v>183</v>
      </c>
    </row>
    <row r="2" spans="1:9">
      <c r="A2" s="71">
        <f ca="1">'Schedule F'!C3</f>
        <v>0</v>
      </c>
    </row>
    <row r="3" spans="1:9">
      <c r="A3" s="7" t="s">
        <v>0</v>
      </c>
      <c r="B3" s="8" t="s">
        <v>6</v>
      </c>
      <c r="C3" s="7" t="s">
        <v>1</v>
      </c>
      <c r="D3" s="7" t="s">
        <v>67</v>
      </c>
      <c r="E3" s="7" t="s">
        <v>165</v>
      </c>
      <c r="F3" s="7" t="s">
        <v>162</v>
      </c>
      <c r="G3" s="8" t="s">
        <v>84</v>
      </c>
      <c r="H3" s="7" t="s">
        <v>2</v>
      </c>
      <c r="I3" s="4"/>
    </row>
    <row r="4" spans="1:9">
      <c r="A4" s="19" t="s">
        <v>7</v>
      </c>
      <c r="B4" s="20">
        <v>0</v>
      </c>
      <c r="C4" s="19">
        <v>0</v>
      </c>
      <c r="D4" s="20">
        <f>C4*B4</f>
        <v>0</v>
      </c>
      <c r="E4" s="21">
        <f>SUMIF('Expense tracking'!C:C,"Sluggo",'Expense tracking'!E:E)</f>
        <v>0</v>
      </c>
      <c r="F4" s="20" t="e">
        <f>SUMIFS('Expense tracking'!E:E,'Expense tracking'!C:C,"Sluggo",'Expense tracking'!#REF!,"Y")</f>
        <v>#REF!</v>
      </c>
      <c r="G4" s="6"/>
      <c r="H4" s="5"/>
      <c r="I4" s="4"/>
    </row>
    <row r="5" spans="1:9">
      <c r="A5" s="19" t="s">
        <v>8</v>
      </c>
      <c r="B5" s="20">
        <v>0</v>
      </c>
      <c r="C5" s="19">
        <v>0</v>
      </c>
      <c r="D5" s="20">
        <f t="shared" ref="D5:D8" si="0">C5*B5</f>
        <v>0</v>
      </c>
      <c r="E5" s="21">
        <f>SUMIF('Expense tracking'!C:C,"Dr Bronners",'Expense tracking'!E:E)</f>
        <v>0</v>
      </c>
      <c r="F5" s="20" t="e">
        <f>SUMIFS('Expense tracking'!E:E,'Expense tracking'!C:C,"Dr Bronners",'Expense tracking'!#REF!,"Y")</f>
        <v>#REF!</v>
      </c>
      <c r="G5" s="28"/>
      <c r="H5" s="5"/>
      <c r="I5" s="4"/>
    </row>
    <row r="6" spans="1:9">
      <c r="A6" s="19" t="s">
        <v>9</v>
      </c>
      <c r="B6" s="20">
        <v>0</v>
      </c>
      <c r="C6" s="19">
        <v>0</v>
      </c>
      <c r="D6" s="20">
        <f t="shared" si="0"/>
        <v>0</v>
      </c>
      <c r="E6" s="21">
        <f>SUMIF('Expense tracking'!C:C,"BT",'Expense tracking'!E:E)</f>
        <v>0</v>
      </c>
      <c r="F6" s="20" t="e">
        <f>SUMIFS('Expense tracking'!E:E,'Expense tracking'!C:C,"BT",'Expense tracking'!#REF!,"Y")</f>
        <v>#REF!</v>
      </c>
      <c r="G6" s="6"/>
      <c r="H6" s="5"/>
      <c r="I6" s="4"/>
    </row>
    <row r="7" spans="1:9">
      <c r="A7" s="19" t="s">
        <v>250</v>
      </c>
      <c r="B7" s="20">
        <v>0</v>
      </c>
      <c r="C7" s="19">
        <v>0</v>
      </c>
      <c r="D7" s="20">
        <f t="shared" si="0"/>
        <v>0</v>
      </c>
      <c r="E7" s="21">
        <f>SUMIF('Expense tracking'!C:C,"Diatomaceous earth",'Expense tracking'!E:E)</f>
        <v>0</v>
      </c>
      <c r="F7" s="20" t="e">
        <f>SUMIFS('Expense tracking'!E:E,'Expense tracking'!C:C,"Diatomaceous earth",'Expense tracking'!#REF!,"Y")</f>
        <v>#REF!</v>
      </c>
      <c r="G7" s="6"/>
      <c r="H7" s="5"/>
      <c r="I7" s="4"/>
    </row>
    <row r="8" spans="1:9">
      <c r="A8" s="19" t="s">
        <v>11</v>
      </c>
      <c r="B8" s="20">
        <v>0</v>
      </c>
      <c r="C8" s="19">
        <v>0</v>
      </c>
      <c r="D8" s="20">
        <f t="shared" si="0"/>
        <v>0</v>
      </c>
      <c r="E8" s="21">
        <f>SUMIF('Expense tracking'!C:C,"Surround",'Expense tracking'!E:E)</f>
        <v>0</v>
      </c>
      <c r="F8" s="20" t="e">
        <f>SUMIFS('Expense tracking'!E:E,'Expense tracking'!C:C,"Surround",'Expense tracking'!#REF!,"Y")</f>
        <v>#REF!</v>
      </c>
      <c r="G8" s="6"/>
      <c r="H8" s="5"/>
      <c r="I8" s="4"/>
    </row>
    <row r="9" spans="1:9">
      <c r="A9" s="58" t="s">
        <v>65</v>
      </c>
      <c r="B9" s="50"/>
      <c r="C9" s="50"/>
      <c r="D9" s="171">
        <f>SUM(D4:D8)</f>
        <v>0</v>
      </c>
      <c r="E9" s="171">
        <f>SUM(E4:E8)</f>
        <v>0</v>
      </c>
      <c r="F9" s="60" t="e">
        <f>SUM(F4:F8)</f>
        <v>#REF!</v>
      </c>
      <c r="G9" s="6"/>
      <c r="H9" s="5"/>
      <c r="I9" s="4"/>
    </row>
    <row r="10" spans="1:9">
      <c r="A10" s="5"/>
      <c r="B10" s="6"/>
      <c r="C10" s="5"/>
      <c r="D10" s="9"/>
      <c r="E10" s="10"/>
      <c r="F10" s="10"/>
      <c r="G10" s="6"/>
      <c r="H10" s="5"/>
      <c r="I10" s="4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>
      <selection activeCell="C5" sqref="C5"/>
    </sheetView>
  </sheetViews>
  <sheetFormatPr baseColWidth="10" defaultRowHeight="15" x14ac:dyDescent="0"/>
  <cols>
    <col min="1" max="1" width="22" customWidth="1"/>
    <col min="2" max="2" width="17.1640625" customWidth="1"/>
    <col min="3" max="3" width="13" customWidth="1"/>
    <col min="4" max="4" width="18.1640625" customWidth="1"/>
    <col min="5" max="6" width="22.1640625" customWidth="1"/>
    <col min="7" max="7" width="29.33203125" customWidth="1"/>
    <col min="8" max="8" width="17.83203125" customWidth="1"/>
  </cols>
  <sheetData>
    <row r="1" spans="1:10">
      <c r="A1" s="2" t="s">
        <v>183</v>
      </c>
    </row>
    <row r="2" spans="1:10">
      <c r="A2" s="71">
        <f>'Schedule F'!C5</f>
        <v>0</v>
      </c>
    </row>
    <row r="3" spans="1:10">
      <c r="A3" s="7" t="s">
        <v>0</v>
      </c>
      <c r="B3" s="8" t="s">
        <v>6</v>
      </c>
      <c r="C3" s="7" t="s">
        <v>1</v>
      </c>
      <c r="D3" s="7" t="s">
        <v>67</v>
      </c>
      <c r="E3" s="7" t="s">
        <v>165</v>
      </c>
      <c r="F3" s="7" t="s">
        <v>162</v>
      </c>
      <c r="G3" s="8" t="s">
        <v>5</v>
      </c>
      <c r="H3" s="7" t="s">
        <v>2</v>
      </c>
    </row>
    <row r="4" spans="1:10">
      <c r="A4" t="s">
        <v>76</v>
      </c>
      <c r="B4" s="12">
        <v>0</v>
      </c>
      <c r="C4">
        <v>0</v>
      </c>
      <c r="D4" s="12">
        <v>0</v>
      </c>
      <c r="E4" s="12">
        <f>SUMIF('Expense tracking'!C:C,"Electrician",'Expense tracking'!E:E)</f>
        <v>0</v>
      </c>
      <c r="F4" s="20" t="e">
        <f>SUMIFS('Expense tracking'!E:E,'Expense tracking'!C:C,"electrician",'Expense tracking'!#REF!,"Y")</f>
        <v>#REF!</v>
      </c>
    </row>
    <row r="5" spans="1:10">
      <c r="A5" t="s">
        <v>10</v>
      </c>
      <c r="B5" s="12">
        <v>0</v>
      </c>
      <c r="C5">
        <v>0</v>
      </c>
      <c r="D5" s="12">
        <f>C5*B5</f>
        <v>0</v>
      </c>
      <c r="E5" s="12">
        <f>SUMIF('Expense tracking'!C:C,"CPA",'Expense tracking'!E:E)</f>
        <v>0</v>
      </c>
      <c r="F5" s="20" t="e">
        <f>SUMIFS('Expense tracking'!E:E,'Expense tracking'!C:C,"CPA",'Expense tracking'!#REF!,"Y")</f>
        <v>#REF!</v>
      </c>
    </row>
    <row r="6" spans="1:10">
      <c r="A6" t="s">
        <v>163</v>
      </c>
      <c r="B6" s="12">
        <v>0</v>
      </c>
      <c r="C6">
        <v>0</v>
      </c>
      <c r="D6" s="12">
        <f>C6*B6</f>
        <v>0</v>
      </c>
      <c r="E6" s="12"/>
      <c r="F6" s="20" t="e">
        <f>SUMIFS('Expense tracking'!E:E,'Expense tracking'!C:C,"plumber",'Expense tracking'!#REF!,"Y")</f>
        <v>#REF!</v>
      </c>
      <c r="G6" t="s">
        <v>164</v>
      </c>
    </row>
    <row r="7" spans="1:10">
      <c r="A7" s="58" t="s">
        <v>65</v>
      </c>
      <c r="B7" s="173"/>
      <c r="C7" s="51"/>
      <c r="D7" s="174">
        <f>SUM(D4:D6)</f>
        <v>0</v>
      </c>
      <c r="E7" s="174">
        <f>SUM(E4:E6)</f>
        <v>0</v>
      </c>
      <c r="F7" s="175" t="e">
        <f>SUM(F4:F6)</f>
        <v>#REF!</v>
      </c>
      <c r="G7" s="26"/>
    </row>
    <row r="8" spans="1:10">
      <c r="B8" s="12"/>
      <c r="D8" s="12"/>
      <c r="F8" s="20"/>
    </row>
    <row r="9" spans="1:10">
      <c r="A9" s="19"/>
      <c r="B9" s="19"/>
      <c r="C9" s="19"/>
      <c r="D9" s="19"/>
      <c r="E9" s="19"/>
      <c r="F9" s="22"/>
      <c r="G9" s="19"/>
      <c r="H9" s="19"/>
      <c r="I9" s="19"/>
      <c r="J9" s="19"/>
    </row>
    <row r="10" spans="1:10">
      <c r="A10" s="19"/>
      <c r="B10" s="6"/>
      <c r="C10" s="19"/>
      <c r="D10" s="20"/>
      <c r="E10" s="21"/>
      <c r="F10" s="63"/>
      <c r="G10" s="19"/>
      <c r="H10" s="19"/>
      <c r="I10" s="19"/>
      <c r="J10" s="19"/>
    </row>
    <row r="11" spans="1:10">
      <c r="A11" s="19"/>
      <c r="B11" s="22"/>
      <c r="C11" s="19"/>
      <c r="D11" s="20"/>
      <c r="E11" s="21"/>
      <c r="F11" s="10"/>
      <c r="G11" s="19"/>
      <c r="H11" s="19"/>
      <c r="I11" s="19"/>
      <c r="J11" s="19"/>
    </row>
    <row r="12" spans="1:10">
      <c r="A12" s="19"/>
      <c r="B12" s="19"/>
      <c r="C12" s="19"/>
      <c r="D12" s="19"/>
      <c r="E12" s="19"/>
      <c r="G12" s="19"/>
      <c r="H12" s="19"/>
      <c r="I12" s="19"/>
      <c r="J12" s="19"/>
    </row>
    <row r="13" spans="1:10">
      <c r="A13" s="19"/>
      <c r="B13" s="19"/>
      <c r="C13" s="19"/>
      <c r="D13" s="19"/>
      <c r="E13" s="19"/>
      <c r="G13" s="19"/>
      <c r="H13" s="19"/>
      <c r="I13" s="19"/>
      <c r="J13" s="19"/>
    </row>
    <row r="14" spans="1:10">
      <c r="A14" s="19"/>
      <c r="B14" s="19"/>
      <c r="C14" s="19"/>
      <c r="D14" s="19"/>
      <c r="E14" s="19"/>
      <c r="G14" s="19"/>
      <c r="H14" s="19"/>
      <c r="I14" s="19"/>
      <c r="J14" s="19"/>
    </row>
    <row r="15" spans="1:10">
      <c r="A15" s="19"/>
      <c r="B15" s="19"/>
      <c r="C15" s="19"/>
      <c r="D15" s="19"/>
      <c r="E15" s="19"/>
      <c r="G15" s="19"/>
      <c r="H15" s="19"/>
      <c r="I15" s="19"/>
      <c r="J15" s="19"/>
    </row>
    <row r="16" spans="1:10">
      <c r="A16" s="19"/>
      <c r="B16" s="19"/>
      <c r="C16" s="19"/>
      <c r="D16" s="19"/>
      <c r="E16" s="19"/>
      <c r="G16" s="19"/>
      <c r="H16" s="19"/>
      <c r="I16" s="19"/>
      <c r="J16" s="19"/>
    </row>
    <row r="17" spans="1:10">
      <c r="A17" s="19"/>
      <c r="B17" s="19"/>
      <c r="C17" s="19"/>
      <c r="D17" s="19"/>
      <c r="E17" s="19"/>
      <c r="G17" s="19"/>
      <c r="H17" s="19"/>
      <c r="I17" s="19"/>
      <c r="J17" s="19"/>
    </row>
    <row r="18" spans="1:10">
      <c r="A18" s="19"/>
      <c r="B18" s="19"/>
      <c r="C18" s="19"/>
      <c r="D18" s="19"/>
      <c r="E18" s="19"/>
      <c r="G18" s="19"/>
      <c r="H18" s="19"/>
      <c r="I18" s="19"/>
      <c r="J18" s="19"/>
    </row>
    <row r="19" spans="1:10">
      <c r="A19" s="19"/>
      <c r="B19" s="19"/>
      <c r="C19" s="19"/>
      <c r="D19" s="19"/>
      <c r="E19" s="19"/>
      <c r="G19" s="19"/>
      <c r="H19" s="19"/>
      <c r="I19" s="19"/>
      <c r="J19" s="19"/>
    </row>
    <row r="20" spans="1:10">
      <c r="A20" s="19"/>
      <c r="B20" s="19"/>
      <c r="C20" s="19"/>
      <c r="D20" s="19"/>
      <c r="E20" s="19"/>
      <c r="G20" s="19"/>
      <c r="H20" s="19"/>
      <c r="I20" s="19"/>
      <c r="J20" s="19"/>
    </row>
    <row r="21" spans="1:10">
      <c r="A21" s="19"/>
      <c r="B21" s="19"/>
      <c r="C21" s="19"/>
      <c r="D21" s="19"/>
      <c r="E21" s="19"/>
      <c r="G21" s="19"/>
      <c r="H21" s="19"/>
      <c r="I21" s="19"/>
      <c r="J21" s="19"/>
    </row>
    <row r="22" spans="1:10">
      <c r="A22" s="19"/>
      <c r="B22" s="19"/>
      <c r="C22" s="19"/>
      <c r="D22" s="19"/>
      <c r="E22" s="19"/>
      <c r="G22" s="19"/>
      <c r="H22" s="19"/>
      <c r="I22" s="19"/>
      <c r="J22" s="19"/>
    </row>
    <row r="23" spans="1:10">
      <c r="A23" s="19"/>
      <c r="B23" s="19"/>
      <c r="C23" s="19"/>
      <c r="D23" s="19"/>
      <c r="E23" s="19"/>
      <c r="G23" s="19"/>
      <c r="H23" s="19"/>
      <c r="I23" s="19"/>
      <c r="J23" s="19"/>
    </row>
    <row r="24" spans="1:10">
      <c r="A24" s="19"/>
      <c r="B24" s="19"/>
      <c r="C24" s="19"/>
      <c r="D24" s="19"/>
      <c r="E24" s="19"/>
      <c r="G24" s="19"/>
      <c r="H24" s="19"/>
      <c r="I24" s="19"/>
      <c r="J24" s="19"/>
    </row>
    <row r="25" spans="1:10">
      <c r="A25" s="19"/>
      <c r="B25" s="19"/>
      <c r="C25" s="19"/>
      <c r="D25" s="19"/>
      <c r="E25" s="19"/>
      <c r="G25" s="19"/>
      <c r="H25" s="19"/>
      <c r="I25" s="19"/>
      <c r="J25" s="19"/>
    </row>
    <row r="26" spans="1:10">
      <c r="A26" s="19"/>
      <c r="B26" s="19"/>
      <c r="C26" s="19"/>
      <c r="D26" s="19"/>
      <c r="E26" s="19"/>
      <c r="G26" s="19"/>
      <c r="H26" s="19"/>
      <c r="I26" s="19"/>
      <c r="J26" s="19"/>
    </row>
    <row r="27" spans="1:10">
      <c r="A27" s="19"/>
      <c r="B27" s="19"/>
      <c r="C27" s="19"/>
      <c r="D27" s="19"/>
      <c r="E27" s="19"/>
      <c r="G27" s="19"/>
      <c r="H27" s="19"/>
      <c r="I27" s="19"/>
      <c r="J27" s="19"/>
    </row>
    <row r="28" spans="1:10">
      <c r="A28" s="19"/>
      <c r="B28" s="23"/>
      <c r="C28" s="24"/>
      <c r="D28" s="23"/>
      <c r="E28" s="23"/>
      <c r="G28" s="23"/>
      <c r="H28" s="24"/>
      <c r="I28" s="23"/>
      <c r="J28" s="19"/>
    </row>
    <row r="29" spans="1:10">
      <c r="B29" s="13"/>
      <c r="C29" s="14"/>
      <c r="D29" s="13"/>
      <c r="E29" s="15"/>
      <c r="G29" s="15"/>
      <c r="H29" s="14"/>
      <c r="I29" s="13"/>
    </row>
    <row r="30" spans="1:10">
      <c r="B30" s="13"/>
      <c r="C30" s="14"/>
      <c r="D30" s="13"/>
      <c r="E30" s="15"/>
      <c r="G30" s="15"/>
      <c r="H30" s="14"/>
      <c r="I30" s="13"/>
    </row>
    <row r="31" spans="1:10">
      <c r="B31" s="13"/>
      <c r="C31" s="14"/>
      <c r="D31" s="13"/>
      <c r="E31" s="15"/>
      <c r="G31" s="15"/>
      <c r="H31" s="14"/>
      <c r="I31" s="13"/>
    </row>
    <row r="32" spans="1:10">
      <c r="B32" s="13"/>
      <c r="C32" s="14"/>
      <c r="D32" s="13"/>
      <c r="E32" s="15"/>
      <c r="G32" s="15"/>
      <c r="H32" s="14"/>
      <c r="I32" s="13"/>
    </row>
    <row r="33" spans="2:9">
      <c r="B33" s="13"/>
      <c r="C33" s="14"/>
      <c r="D33" s="13"/>
      <c r="E33" s="15"/>
      <c r="G33" s="15"/>
      <c r="H33" s="14"/>
      <c r="I33" s="14"/>
    </row>
    <row r="34" spans="2:9">
      <c r="B34" s="13"/>
      <c r="C34" s="14"/>
      <c r="D34" s="13"/>
      <c r="E34" s="15"/>
      <c r="G34" s="15"/>
      <c r="H34" s="14"/>
      <c r="I34" s="13"/>
    </row>
    <row r="35" spans="2:9">
      <c r="B35" s="13"/>
      <c r="C35" s="14"/>
      <c r="D35" s="13"/>
      <c r="E35" s="15"/>
      <c r="G35" s="15"/>
      <c r="H35" s="14"/>
      <c r="I35" s="13"/>
    </row>
    <row r="36" spans="2:9">
      <c r="B36" s="13"/>
      <c r="C36" s="14"/>
      <c r="D36" s="13"/>
      <c r="E36" s="15"/>
      <c r="G36" s="15"/>
      <c r="H36" s="14"/>
      <c r="I36" s="13"/>
    </row>
    <row r="37" spans="2:9">
      <c r="B37" s="16"/>
      <c r="C37" s="17"/>
      <c r="D37" s="17"/>
      <c r="E37" s="18"/>
      <c r="G37" s="18"/>
      <c r="H37" s="13"/>
      <c r="I37" s="13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C5" sqref="C5"/>
    </sheetView>
  </sheetViews>
  <sheetFormatPr baseColWidth="10" defaultRowHeight="15" x14ac:dyDescent="0"/>
  <cols>
    <col min="1" max="1" width="22" customWidth="1"/>
    <col min="2" max="2" width="17.1640625" customWidth="1"/>
    <col min="3" max="3" width="13" customWidth="1"/>
    <col min="4" max="4" width="18.1640625" customWidth="1"/>
    <col min="5" max="5" width="22.1640625" customWidth="1"/>
    <col min="6" max="6" width="29.33203125" customWidth="1"/>
    <col min="7" max="7" width="18.83203125" customWidth="1"/>
  </cols>
  <sheetData>
    <row r="1" spans="1:7">
      <c r="A1" s="2" t="s">
        <v>183</v>
      </c>
    </row>
    <row r="2" spans="1:7">
      <c r="A2" s="71">
        <f>'Schedule F'!C9</f>
        <v>0</v>
      </c>
    </row>
    <row r="3" spans="1:7">
      <c r="A3" s="64" t="s">
        <v>0</v>
      </c>
      <c r="B3" s="169" t="s">
        <v>246</v>
      </c>
      <c r="C3" s="64" t="s">
        <v>1</v>
      </c>
      <c r="D3" s="64" t="s">
        <v>67</v>
      </c>
      <c r="E3" s="64" t="s">
        <v>165</v>
      </c>
      <c r="F3" s="169" t="s">
        <v>247</v>
      </c>
      <c r="G3" s="64" t="s">
        <v>2</v>
      </c>
    </row>
    <row r="4" spans="1:7">
      <c r="A4" s="19" t="s">
        <v>18</v>
      </c>
      <c r="B4" s="20">
        <v>0</v>
      </c>
      <c r="C4" s="19">
        <v>0</v>
      </c>
      <c r="D4" s="27">
        <f t="shared" ref="D4:D15" si="0">C4*B4</f>
        <v>0</v>
      </c>
      <c r="E4" s="21">
        <f>SUMIF('Expense tracking'!C:C,"Blood meal",'Expense tracking'!E:E)</f>
        <v>0</v>
      </c>
      <c r="F4" s="19"/>
      <c r="G4" s="19"/>
    </row>
    <row r="5" spans="1:7">
      <c r="A5" s="19" t="s">
        <v>242</v>
      </c>
      <c r="B5" s="20">
        <v>0</v>
      </c>
      <c r="C5" s="19">
        <v>0</v>
      </c>
      <c r="D5" s="27">
        <f>C5*B5</f>
        <v>0</v>
      </c>
      <c r="E5" s="21">
        <f>SUMIF('Expense tracking'!C:C,"bone meal",'Expense tracking'!E:E)</f>
        <v>0</v>
      </c>
      <c r="F5" s="28"/>
      <c r="G5" s="5"/>
    </row>
    <row r="6" spans="1:7">
      <c r="A6" s="19" t="s">
        <v>13</v>
      </c>
      <c r="B6" s="20">
        <v>0</v>
      </c>
      <c r="C6" s="19">
        <v>0</v>
      </c>
      <c r="D6" s="27">
        <f t="shared" si="0"/>
        <v>0</v>
      </c>
      <c r="E6" s="21">
        <f>SUMIF('Expense tracking'!C:C,"Boron",'Expense tracking'!E:E)</f>
        <v>0</v>
      </c>
      <c r="F6" s="28" t="s">
        <v>79</v>
      </c>
      <c r="G6" s="5"/>
    </row>
    <row r="7" spans="1:7">
      <c r="A7" s="19" t="s">
        <v>19</v>
      </c>
      <c r="B7" s="20">
        <v>0</v>
      </c>
      <c r="C7" s="19">
        <v>0</v>
      </c>
      <c r="D7" s="27">
        <f>C7*B7</f>
        <v>0</v>
      </c>
      <c r="E7" s="21">
        <f>SUMIF('Expense tracking'!C:C,"Compost",'Expense tracking'!E:E)</f>
        <v>0</v>
      </c>
      <c r="F7" s="19"/>
      <c r="G7" s="19"/>
    </row>
    <row r="8" spans="1:7">
      <c r="A8" s="19" t="s">
        <v>126</v>
      </c>
      <c r="B8" s="20">
        <v>0</v>
      </c>
      <c r="C8" s="19">
        <v>0</v>
      </c>
      <c r="D8" s="27">
        <f t="shared" si="0"/>
        <v>0</v>
      </c>
      <c r="E8" s="21">
        <f>SUMIF('Expense tracking'!C:C,"Epsom salt",'Expense tracking'!E:E)</f>
        <v>0</v>
      </c>
      <c r="F8" s="28" t="s">
        <v>77</v>
      </c>
      <c r="G8" s="5"/>
    </row>
    <row r="9" spans="1:7">
      <c r="A9" s="19" t="s">
        <v>125</v>
      </c>
      <c r="B9" s="20">
        <v>0</v>
      </c>
      <c r="C9" s="19">
        <v>0</v>
      </c>
      <c r="D9" s="27">
        <f t="shared" si="0"/>
        <v>0</v>
      </c>
      <c r="E9" s="21">
        <f>SUMIF('Expense tracking'!C:C,"Fish fertilizer",'Expense tracking'!E:E)</f>
        <v>0</v>
      </c>
      <c r="F9" s="19"/>
      <c r="G9" s="19"/>
    </row>
    <row r="10" spans="1:7">
      <c r="A10" s="19" t="s">
        <v>12</v>
      </c>
      <c r="B10" s="20">
        <v>0</v>
      </c>
      <c r="C10" s="19">
        <v>0</v>
      </c>
      <c r="D10" s="27">
        <f t="shared" si="0"/>
        <v>0</v>
      </c>
      <c r="E10" s="21">
        <f>SUMIF('Expense tracking'!C:C,"Gypsum",'Expense tracking'!E:E)</f>
        <v>0</v>
      </c>
      <c r="F10" s="19"/>
      <c r="G10" s="5"/>
    </row>
    <row r="11" spans="1:7">
      <c r="A11" s="19" t="s">
        <v>16</v>
      </c>
      <c r="B11" s="20">
        <v>0</v>
      </c>
      <c r="C11" s="19">
        <v>0</v>
      </c>
      <c r="D11" s="27">
        <f t="shared" si="0"/>
        <v>0</v>
      </c>
      <c r="E11" s="21">
        <f>SUMIF('Expense tracking'!C:C,"Peat",'Expense tracking'!E:E)</f>
        <v>0</v>
      </c>
      <c r="F11" s="28"/>
      <c r="G11" s="5"/>
    </row>
    <row r="12" spans="1:7">
      <c r="A12" s="19" t="s">
        <v>15</v>
      </c>
      <c r="B12" s="20">
        <v>0</v>
      </c>
      <c r="C12" s="19">
        <v>0</v>
      </c>
      <c r="D12" s="27">
        <f t="shared" si="0"/>
        <v>0</v>
      </c>
      <c r="E12" s="21">
        <f>SUMIF('Expense tracking'!C:C,"PH test kit",'Expense tracking'!E:E)</f>
        <v>0</v>
      </c>
      <c r="F12" s="28"/>
      <c r="G12" s="5"/>
    </row>
    <row r="13" spans="1:7">
      <c r="A13" s="19" t="s">
        <v>127</v>
      </c>
      <c r="B13" s="20">
        <v>0</v>
      </c>
      <c r="C13" s="19">
        <v>0</v>
      </c>
      <c r="D13" s="27">
        <f t="shared" si="0"/>
        <v>0</v>
      </c>
      <c r="E13" s="21">
        <f>SUMIF('Expense tracking'!C:C,"Phosphorous",'Expense tracking'!E:E)</f>
        <v>0</v>
      </c>
      <c r="F13" s="28" t="s">
        <v>78</v>
      </c>
      <c r="G13" s="5"/>
    </row>
    <row r="14" spans="1:7">
      <c r="A14" s="19" t="s">
        <v>14</v>
      </c>
      <c r="B14" s="20">
        <v>0</v>
      </c>
      <c r="C14" s="19">
        <v>0</v>
      </c>
      <c r="D14" s="27">
        <f t="shared" si="0"/>
        <v>0</v>
      </c>
      <c r="E14" s="21">
        <f>SUMIF('Expense tracking'!C:C,"Revitapro",'Expense tracking'!E:E)</f>
        <v>0</v>
      </c>
      <c r="F14" s="28"/>
      <c r="G14" s="5"/>
    </row>
    <row r="15" spans="1:7">
      <c r="A15" s="19" t="s">
        <v>17</v>
      </c>
      <c r="B15" s="20">
        <v>0</v>
      </c>
      <c r="C15" s="19">
        <v>0</v>
      </c>
      <c r="D15" s="27">
        <f t="shared" si="0"/>
        <v>0</v>
      </c>
      <c r="E15" s="21">
        <f>SUMIF('Expense tracking'!C:C,"Woodchips",'Expense tracking'!E:E)</f>
        <v>0</v>
      </c>
      <c r="F15" s="28" t="s">
        <v>80</v>
      </c>
      <c r="G15" s="5"/>
    </row>
    <row r="16" spans="1:7">
      <c r="A16" s="176" t="s">
        <v>65</v>
      </c>
      <c r="B16" s="177"/>
      <c r="C16" s="177"/>
      <c r="D16" s="178">
        <f>SUM(D3:D14)</f>
        <v>0</v>
      </c>
      <c r="E16" s="178">
        <f>SUM(E3:E14)</f>
        <v>0</v>
      </c>
      <c r="F16" s="19"/>
      <c r="G16" s="19"/>
    </row>
    <row r="18" spans="4:4">
      <c r="D18" s="12"/>
    </row>
  </sheetData>
  <sortState ref="A2:G13">
    <sortCondition ref="A2"/>
  </sortState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5" sqref="C5"/>
    </sheetView>
  </sheetViews>
  <sheetFormatPr baseColWidth="10" defaultRowHeight="15" x14ac:dyDescent="0"/>
  <cols>
    <col min="1" max="1" width="22" customWidth="1"/>
    <col min="2" max="2" width="17.1640625" customWidth="1"/>
    <col min="3" max="3" width="13" customWidth="1"/>
    <col min="4" max="4" width="18.1640625" customWidth="1"/>
    <col min="5" max="5" width="22.1640625" customWidth="1"/>
    <col min="6" max="6" width="29.33203125" customWidth="1"/>
    <col min="7" max="7" width="17.83203125" customWidth="1"/>
  </cols>
  <sheetData>
    <row r="1" spans="1:7">
      <c r="A1" s="2" t="s">
        <v>183</v>
      </c>
    </row>
    <row r="2" spans="1:7">
      <c r="A2" s="71">
        <f>'Schedule F'!C11</f>
        <v>0</v>
      </c>
    </row>
    <row r="3" spans="1:7">
      <c r="A3" s="7" t="s">
        <v>0</v>
      </c>
      <c r="B3" s="8" t="s">
        <v>6</v>
      </c>
      <c r="C3" s="7" t="s">
        <v>1</v>
      </c>
      <c r="D3" s="7" t="s">
        <v>67</v>
      </c>
      <c r="E3" s="7" t="s">
        <v>165</v>
      </c>
      <c r="F3" s="8" t="s">
        <v>84</v>
      </c>
      <c r="G3" s="7" t="s">
        <v>2</v>
      </c>
    </row>
    <row r="4" spans="1:7">
      <c r="A4" s="5" t="s">
        <v>85</v>
      </c>
      <c r="B4" s="6">
        <v>0</v>
      </c>
      <c r="C4" s="132">
        <v>0</v>
      </c>
      <c r="D4" s="9">
        <f>C4*B4</f>
        <v>0</v>
      </c>
      <c r="E4" s="10">
        <f>SUMIF('Expense tracking'!C:C,"gas for equipment",'Expense tracking'!E:E)</f>
        <v>0</v>
      </c>
      <c r="F4" s="6" t="s">
        <v>87</v>
      </c>
      <c r="G4" s="5"/>
    </row>
    <row r="5" spans="1:7">
      <c r="A5" t="s">
        <v>232</v>
      </c>
      <c r="B5" s="12">
        <v>0</v>
      </c>
      <c r="C5" s="133">
        <v>0</v>
      </c>
      <c r="D5" s="9">
        <f>C5*B5</f>
        <v>0</v>
      </c>
      <c r="E5" s="10">
        <f>SUMIF('Expense tracking'!C:C,"Equipment oil",'Expense tracking'!E:E)</f>
        <v>0</v>
      </c>
    </row>
    <row r="6" spans="1:7">
      <c r="A6" t="s">
        <v>128</v>
      </c>
      <c r="B6" s="12">
        <v>0</v>
      </c>
      <c r="C6" s="133">
        <v>0</v>
      </c>
      <c r="D6" s="9">
        <f t="shared" ref="D6:D7" si="0">C6*B6</f>
        <v>0</v>
      </c>
      <c r="E6" s="10">
        <f>SUMIF('Expense tracking'!C:C,"Propane",'Expense tracking'!E:E)</f>
        <v>0</v>
      </c>
      <c r="F6" t="s">
        <v>130</v>
      </c>
    </row>
    <row r="7" spans="1:7">
      <c r="A7" t="s">
        <v>129</v>
      </c>
      <c r="B7" s="12">
        <v>0</v>
      </c>
      <c r="C7" s="133">
        <v>0</v>
      </c>
      <c r="D7" s="9">
        <f t="shared" si="0"/>
        <v>0</v>
      </c>
      <c r="E7" s="10">
        <f>SUMIF('Expense tracking'!C:C,"Grease",'Expense tracking'!E:E)</f>
        <v>0</v>
      </c>
    </row>
    <row r="8" spans="1:7">
      <c r="A8" s="58" t="s">
        <v>65</v>
      </c>
      <c r="B8" s="179"/>
      <c r="C8" s="180"/>
      <c r="D8" s="179">
        <f>SUM(D4:D7)</f>
        <v>0</v>
      </c>
      <c r="E8" s="179">
        <f>SUM(E4:E7)</f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workbookViewId="0">
      <selection activeCell="A5" sqref="A5"/>
    </sheetView>
  </sheetViews>
  <sheetFormatPr baseColWidth="10" defaultRowHeight="15" x14ac:dyDescent="0"/>
  <cols>
    <col min="1" max="1" width="22" customWidth="1"/>
    <col min="2" max="2" width="17.1640625" customWidth="1"/>
    <col min="3" max="3" width="13" customWidth="1"/>
    <col min="4" max="4" width="23.83203125" customWidth="1"/>
    <col min="5" max="5" width="22.1640625" customWidth="1"/>
    <col min="7" max="8" width="7.83203125" customWidth="1"/>
  </cols>
  <sheetData>
    <row r="1" spans="1:10">
      <c r="A1" s="2" t="s">
        <v>183</v>
      </c>
    </row>
    <row r="2" spans="1:10">
      <c r="A2" s="71">
        <f>'Schedule F'!C14</f>
        <v>0</v>
      </c>
      <c r="G2" t="s">
        <v>280</v>
      </c>
    </row>
    <row r="3" spans="1:10" ht="16" thickBot="1">
      <c r="A3" s="7" t="s">
        <v>0</v>
      </c>
      <c r="B3" s="8" t="s">
        <v>6</v>
      </c>
      <c r="C3" s="7" t="s">
        <v>1</v>
      </c>
      <c r="D3" s="7" t="s">
        <v>67</v>
      </c>
      <c r="E3" s="7" t="s">
        <v>75</v>
      </c>
      <c r="G3" s="199" t="s">
        <v>257</v>
      </c>
      <c r="H3" s="199"/>
      <c r="I3" s="199" t="s">
        <v>186</v>
      </c>
      <c r="J3" s="199" t="s">
        <v>185</v>
      </c>
    </row>
    <row r="4" spans="1:10">
      <c r="A4" s="40" t="s">
        <v>285</v>
      </c>
      <c r="B4" s="6">
        <v>0</v>
      </c>
      <c r="C4" s="5">
        <v>0</v>
      </c>
      <c r="D4" s="9">
        <f>B4*C4</f>
        <v>0</v>
      </c>
      <c r="E4" s="21">
        <f>SUMIF('Expense tracking'!C:C,"Marcie",'Expense tracking'!E:E)</f>
        <v>0</v>
      </c>
      <c r="G4" s="202">
        <v>43830</v>
      </c>
      <c r="H4" s="200">
        <v>43836</v>
      </c>
      <c r="I4" s="205"/>
      <c r="J4" s="205"/>
    </row>
    <row r="5" spans="1:10">
      <c r="A5" s="40" t="s">
        <v>284</v>
      </c>
      <c r="B5" s="6">
        <v>0</v>
      </c>
      <c r="C5" s="5">
        <v>0</v>
      </c>
      <c r="D5" s="9">
        <f>C5*B5</f>
        <v>0</v>
      </c>
      <c r="E5" s="21">
        <f>SUMIF('Expense tracking'!C:C,"Tracey",'Expense tracking'!E:E)</f>
        <v>0</v>
      </c>
      <c r="G5" s="197">
        <v>43837</v>
      </c>
      <c r="H5" s="198">
        <v>43843</v>
      </c>
      <c r="I5" s="204"/>
      <c r="J5" s="204"/>
    </row>
    <row r="6" spans="1:10">
      <c r="A6" s="58" t="s">
        <v>65</v>
      </c>
      <c r="B6" s="50"/>
      <c r="C6" s="50"/>
      <c r="D6" s="171">
        <f>SUM(D4:D5)</f>
        <v>0</v>
      </c>
      <c r="E6" s="171">
        <f>SUM(E4:E5)</f>
        <v>0</v>
      </c>
      <c r="G6" s="197">
        <v>43844</v>
      </c>
      <c r="H6" s="198">
        <v>43850</v>
      </c>
      <c r="I6" s="204"/>
      <c r="J6" s="204"/>
    </row>
    <row r="7" spans="1:10">
      <c r="G7" s="197">
        <v>43851</v>
      </c>
      <c r="H7" s="198">
        <v>43857</v>
      </c>
      <c r="I7" s="204"/>
      <c r="J7" s="204"/>
    </row>
    <row r="8" spans="1:10">
      <c r="G8" s="197">
        <v>43858</v>
      </c>
      <c r="H8" s="198">
        <v>43864</v>
      </c>
      <c r="I8" s="204"/>
      <c r="J8" s="204"/>
    </row>
    <row r="9" spans="1:10">
      <c r="G9" s="197">
        <v>43865</v>
      </c>
      <c r="H9" s="198">
        <v>43871</v>
      </c>
      <c r="I9" s="204"/>
      <c r="J9" s="204"/>
    </row>
    <row r="10" spans="1:10">
      <c r="G10" s="197">
        <v>43872</v>
      </c>
      <c r="H10" s="198">
        <v>43878</v>
      </c>
      <c r="I10" s="204"/>
      <c r="J10" s="204"/>
    </row>
    <row r="11" spans="1:10">
      <c r="G11" s="197">
        <v>43879</v>
      </c>
      <c r="H11" s="198">
        <v>43885</v>
      </c>
      <c r="I11" s="204"/>
      <c r="J11" s="204"/>
    </row>
    <row r="12" spans="1:10">
      <c r="G12" s="197">
        <v>43886</v>
      </c>
      <c r="H12" s="198">
        <v>43892</v>
      </c>
      <c r="I12" s="204"/>
      <c r="J12" s="204"/>
    </row>
    <row r="13" spans="1:10">
      <c r="G13" s="197">
        <v>43893</v>
      </c>
      <c r="H13" s="198">
        <v>43899</v>
      </c>
      <c r="I13" s="204"/>
      <c r="J13" s="204"/>
    </row>
    <row r="14" spans="1:10">
      <c r="G14" s="197">
        <v>43900</v>
      </c>
      <c r="H14" s="198">
        <v>43906</v>
      </c>
      <c r="I14" s="204"/>
      <c r="J14" s="204"/>
    </row>
    <row r="15" spans="1:10">
      <c r="G15" s="197">
        <v>43907</v>
      </c>
      <c r="H15" s="198">
        <v>43913</v>
      </c>
      <c r="I15" s="204"/>
      <c r="J15" s="204"/>
    </row>
    <row r="16" spans="1:10">
      <c r="G16" s="197">
        <v>43914</v>
      </c>
      <c r="H16" s="198">
        <v>43920</v>
      </c>
      <c r="I16" s="204"/>
      <c r="J16" s="204"/>
    </row>
    <row r="17" spans="7:10">
      <c r="G17" s="197">
        <v>43921</v>
      </c>
      <c r="H17" s="198">
        <v>43927</v>
      </c>
      <c r="I17" s="204"/>
      <c r="J17" s="204"/>
    </row>
    <row r="18" spans="7:10">
      <c r="G18" s="197">
        <v>43928</v>
      </c>
      <c r="H18" s="198">
        <v>43934</v>
      </c>
      <c r="I18" s="204"/>
      <c r="J18" s="204"/>
    </row>
    <row r="19" spans="7:10">
      <c r="G19" s="197">
        <v>43935</v>
      </c>
      <c r="H19" s="198">
        <v>43941</v>
      </c>
      <c r="I19" s="204"/>
      <c r="J19" s="204"/>
    </row>
    <row r="20" spans="7:10">
      <c r="G20" s="197">
        <v>43942</v>
      </c>
      <c r="H20" s="198">
        <v>43948</v>
      </c>
      <c r="I20" s="204"/>
      <c r="J20" s="204"/>
    </row>
    <row r="21" spans="7:10">
      <c r="G21" s="197">
        <v>43949</v>
      </c>
      <c r="H21" s="198">
        <v>43955</v>
      </c>
      <c r="I21" s="204"/>
      <c r="J21" s="204"/>
    </row>
    <row r="22" spans="7:10">
      <c r="G22" s="197">
        <v>43956</v>
      </c>
      <c r="H22" s="198">
        <v>43962</v>
      </c>
      <c r="I22" s="204"/>
      <c r="J22" s="204"/>
    </row>
    <row r="23" spans="7:10">
      <c r="G23" s="197">
        <v>43963</v>
      </c>
      <c r="H23" s="198">
        <v>43969</v>
      </c>
      <c r="I23" s="204"/>
      <c r="J23" s="204"/>
    </row>
    <row r="24" spans="7:10">
      <c r="G24" s="197">
        <v>43970</v>
      </c>
      <c r="H24" s="198">
        <v>43976</v>
      </c>
      <c r="I24" s="204"/>
      <c r="J24" s="204"/>
    </row>
    <row r="25" spans="7:10">
      <c r="G25" s="197">
        <v>43977</v>
      </c>
      <c r="H25" s="198">
        <v>43983</v>
      </c>
      <c r="I25" s="204"/>
      <c r="J25" s="204"/>
    </row>
    <row r="26" spans="7:10">
      <c r="G26" s="197">
        <v>43984</v>
      </c>
      <c r="H26" s="198">
        <v>43990</v>
      </c>
      <c r="I26" s="204"/>
      <c r="J26" s="204"/>
    </row>
    <row r="27" spans="7:10">
      <c r="G27" s="197">
        <v>43991</v>
      </c>
      <c r="H27" s="198">
        <v>43997</v>
      </c>
      <c r="I27" s="204"/>
      <c r="J27" s="204"/>
    </row>
    <row r="28" spans="7:10">
      <c r="G28" s="197">
        <v>43998</v>
      </c>
      <c r="H28" s="198">
        <v>44004</v>
      </c>
      <c r="I28" s="204"/>
      <c r="J28" s="204"/>
    </row>
    <row r="29" spans="7:10">
      <c r="G29" s="197">
        <v>44005</v>
      </c>
      <c r="H29" s="198">
        <v>44011</v>
      </c>
      <c r="I29" s="204"/>
      <c r="J29" s="204"/>
    </row>
    <row r="30" spans="7:10">
      <c r="G30" s="197">
        <v>44012</v>
      </c>
      <c r="H30" s="198">
        <v>44018</v>
      </c>
      <c r="I30" s="204"/>
      <c r="J30" s="204"/>
    </row>
    <row r="31" spans="7:10">
      <c r="G31" s="197">
        <v>44019</v>
      </c>
      <c r="H31" s="198">
        <v>44025</v>
      </c>
      <c r="I31" s="204"/>
      <c r="J31" s="204"/>
    </row>
    <row r="32" spans="7:10">
      <c r="G32" s="197">
        <v>44026</v>
      </c>
      <c r="H32" s="198">
        <v>44032</v>
      </c>
      <c r="I32" s="204"/>
      <c r="J32" s="204"/>
    </row>
    <row r="33" spans="7:10">
      <c r="G33" s="197">
        <v>44033</v>
      </c>
      <c r="H33" s="198">
        <v>44039</v>
      </c>
      <c r="I33" s="204"/>
      <c r="J33" s="204"/>
    </row>
    <row r="34" spans="7:10">
      <c r="G34" s="197">
        <v>44040</v>
      </c>
      <c r="H34" s="198">
        <v>44046</v>
      </c>
      <c r="I34" s="204"/>
      <c r="J34" s="204"/>
    </row>
    <row r="35" spans="7:10">
      <c r="G35" s="197">
        <v>44047</v>
      </c>
      <c r="H35" s="198">
        <v>44053</v>
      </c>
      <c r="I35" s="204"/>
      <c r="J35" s="204"/>
    </row>
    <row r="36" spans="7:10">
      <c r="G36" s="197">
        <v>44054</v>
      </c>
      <c r="H36" s="198">
        <v>44060</v>
      </c>
      <c r="I36" s="204"/>
      <c r="J36" s="204"/>
    </row>
    <row r="37" spans="7:10">
      <c r="G37" s="197">
        <v>44061</v>
      </c>
      <c r="H37" s="198">
        <v>44067</v>
      </c>
      <c r="I37" s="204"/>
      <c r="J37" s="204"/>
    </row>
    <row r="38" spans="7:10">
      <c r="G38" s="197">
        <v>44068</v>
      </c>
      <c r="H38" s="198">
        <v>44074</v>
      </c>
      <c r="I38" s="204"/>
      <c r="J38" s="204"/>
    </row>
    <row r="39" spans="7:10">
      <c r="G39" s="197">
        <v>44075</v>
      </c>
      <c r="H39" s="198">
        <v>44081</v>
      </c>
      <c r="I39" s="204"/>
      <c r="J39" s="204"/>
    </row>
    <row r="40" spans="7:10">
      <c r="G40" s="197">
        <v>44082</v>
      </c>
      <c r="H40" s="198">
        <v>44088</v>
      </c>
      <c r="I40" s="204"/>
      <c r="J40" s="204"/>
    </row>
    <row r="41" spans="7:10">
      <c r="G41" s="197">
        <v>44089</v>
      </c>
      <c r="H41" s="198">
        <v>44095</v>
      </c>
      <c r="I41" s="204"/>
      <c r="J41" s="204"/>
    </row>
    <row r="42" spans="7:10">
      <c r="G42" s="197">
        <v>44096</v>
      </c>
      <c r="H42" s="198">
        <v>44102</v>
      </c>
      <c r="I42" s="204"/>
      <c r="J42" s="204"/>
    </row>
    <row r="43" spans="7:10">
      <c r="G43" s="197">
        <v>44103</v>
      </c>
      <c r="H43" s="198">
        <v>44109</v>
      </c>
      <c r="I43" s="204"/>
      <c r="J43" s="204"/>
    </row>
    <row r="44" spans="7:10">
      <c r="G44" s="197">
        <v>44110</v>
      </c>
      <c r="H44" s="198">
        <v>44116</v>
      </c>
      <c r="I44" s="204"/>
      <c r="J44" s="204"/>
    </row>
    <row r="45" spans="7:10">
      <c r="G45" s="197">
        <v>44117</v>
      </c>
      <c r="H45" s="198">
        <v>44123</v>
      </c>
      <c r="I45" s="204"/>
      <c r="J45" s="204"/>
    </row>
    <row r="46" spans="7:10">
      <c r="G46" s="197">
        <v>44124</v>
      </c>
      <c r="H46" s="198">
        <v>44130</v>
      </c>
      <c r="I46" s="204"/>
      <c r="J46" s="204"/>
    </row>
    <row r="47" spans="7:10">
      <c r="G47" s="197">
        <v>44131</v>
      </c>
      <c r="H47" s="198">
        <v>44137</v>
      </c>
      <c r="I47" s="204"/>
      <c r="J47" s="204"/>
    </row>
    <row r="48" spans="7:10">
      <c r="G48" s="197">
        <v>44138</v>
      </c>
      <c r="H48" s="198">
        <v>44144</v>
      </c>
      <c r="I48" s="204"/>
      <c r="J48" s="204"/>
    </row>
    <row r="49" spans="1:10">
      <c r="G49" s="197">
        <v>44145</v>
      </c>
      <c r="H49" s="198">
        <v>44151</v>
      </c>
      <c r="I49" s="204"/>
      <c r="J49" s="204"/>
    </row>
    <row r="50" spans="1:10">
      <c r="G50" s="197">
        <v>44152</v>
      </c>
      <c r="H50" s="198">
        <v>44158</v>
      </c>
      <c r="I50" s="204"/>
      <c r="J50" s="204"/>
    </row>
    <row r="51" spans="1:10">
      <c r="G51" s="197">
        <v>44159</v>
      </c>
      <c r="H51" s="198">
        <v>44165</v>
      </c>
      <c r="I51" s="204"/>
      <c r="J51" s="204"/>
    </row>
    <row r="52" spans="1:10">
      <c r="G52" s="197">
        <v>44166</v>
      </c>
      <c r="H52" s="198">
        <v>44172</v>
      </c>
      <c r="I52" s="204"/>
      <c r="J52" s="204"/>
    </row>
    <row r="53" spans="1:10">
      <c r="G53" s="197">
        <v>44173</v>
      </c>
      <c r="H53" s="198">
        <v>44179</v>
      </c>
      <c r="I53" s="204"/>
      <c r="J53" s="204"/>
    </row>
    <row r="54" spans="1:10">
      <c r="G54" s="197">
        <v>44180</v>
      </c>
      <c r="H54" s="198">
        <v>44186</v>
      </c>
      <c r="I54" s="204"/>
      <c r="J54" s="204"/>
    </row>
    <row r="55" spans="1:10" ht="16" thickBot="1">
      <c r="G55" s="203">
        <v>44187</v>
      </c>
      <c r="H55" s="201">
        <v>44193</v>
      </c>
      <c r="I55" s="206"/>
      <c r="J55" s="206"/>
    </row>
    <row r="56" spans="1:10">
      <c r="H56" s="2" t="s">
        <v>65</v>
      </c>
      <c r="I56">
        <f>SUM(I4:I55)</f>
        <v>0</v>
      </c>
      <c r="J56">
        <f>SUM(J4:J55)</f>
        <v>0</v>
      </c>
    </row>
    <row r="62" spans="1:10">
      <c r="A62" s="196"/>
    </row>
  </sheetData>
  <phoneticPr fontId="10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C6" sqref="C6"/>
    </sheetView>
  </sheetViews>
  <sheetFormatPr baseColWidth="10" defaultRowHeight="15" x14ac:dyDescent="0"/>
  <cols>
    <col min="1" max="1" width="27.6640625" customWidth="1"/>
    <col min="2" max="2" width="17.1640625" customWidth="1"/>
    <col min="3" max="3" width="13" customWidth="1"/>
    <col min="4" max="4" width="18.1640625" customWidth="1"/>
    <col min="5" max="5" width="22.1640625" customWidth="1"/>
    <col min="6" max="6" width="29.33203125" customWidth="1"/>
    <col min="7" max="7" width="17.83203125" customWidth="1"/>
  </cols>
  <sheetData>
    <row r="1" spans="1:7">
      <c r="A1" s="2" t="s">
        <v>183</v>
      </c>
    </row>
    <row r="2" spans="1:7">
      <c r="A2" s="71">
        <f>'Schedule F'!C12</f>
        <v>0</v>
      </c>
    </row>
    <row r="3" spans="1:7">
      <c r="A3" s="7" t="s">
        <v>0</v>
      </c>
      <c r="B3" s="8" t="s">
        <v>6</v>
      </c>
      <c r="C3" s="7" t="s">
        <v>1</v>
      </c>
      <c r="D3" s="7" t="s">
        <v>67</v>
      </c>
      <c r="E3" s="7" t="s">
        <v>165</v>
      </c>
      <c r="F3" s="8" t="s">
        <v>5</v>
      </c>
      <c r="G3" s="7" t="s">
        <v>2</v>
      </c>
    </row>
    <row r="4" spans="1:7">
      <c r="A4" s="5" t="s">
        <v>131</v>
      </c>
      <c r="B4" s="6">
        <v>0</v>
      </c>
      <c r="C4" s="5">
        <v>0</v>
      </c>
      <c r="D4" s="9">
        <f>SUM(C4*B4)</f>
        <v>0</v>
      </c>
      <c r="E4" s="10">
        <f>SUMIF('Expense tracking'!C:C,"farmers market insurance",'Expense tracking'!E:E)</f>
        <v>0</v>
      </c>
      <c r="F4" s="6"/>
      <c r="G4" s="5"/>
    </row>
    <row r="5" spans="1:7">
      <c r="A5" s="30" t="s">
        <v>236</v>
      </c>
      <c r="B5" s="22">
        <v>0</v>
      </c>
      <c r="C5" s="30">
        <v>0</v>
      </c>
      <c r="D5" s="9">
        <f t="shared" ref="D5" si="0">SUM(C5*B5)</f>
        <v>0</v>
      </c>
      <c r="E5" s="31">
        <f>SUMIF('Expense tracking'!C:C,"farm liability insurance/ truck/ farmer's market",'Expense tracking'!E:E)</f>
        <v>0</v>
      </c>
      <c r="F5" s="6"/>
      <c r="G5" s="5"/>
    </row>
    <row r="6" spans="1:7">
      <c r="A6" s="58" t="s">
        <v>65</v>
      </c>
      <c r="B6" s="50"/>
      <c r="C6" s="50"/>
      <c r="D6" s="171">
        <f>SUM(D4:D5)</f>
        <v>0</v>
      </c>
      <c r="E6" s="171">
        <f>SUM(E4:E5)</f>
        <v>0</v>
      </c>
      <c r="F6" s="6"/>
      <c r="G6" s="5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7" sqref="C7"/>
    </sheetView>
  </sheetViews>
  <sheetFormatPr baseColWidth="10" defaultRowHeight="15" x14ac:dyDescent="0"/>
  <cols>
    <col min="1" max="1" width="33.5" customWidth="1"/>
    <col min="2" max="2" width="17.1640625" customWidth="1"/>
    <col min="3" max="3" width="13" customWidth="1"/>
    <col min="4" max="4" width="18.1640625" customWidth="1"/>
    <col min="5" max="5" width="22.1640625" customWidth="1"/>
    <col min="6" max="6" width="29.33203125" customWidth="1"/>
    <col min="7" max="7" width="17.83203125" customWidth="1"/>
  </cols>
  <sheetData>
    <row r="1" spans="1:7">
      <c r="A1" s="2" t="s">
        <v>183</v>
      </c>
    </row>
    <row r="2" spans="1:7">
      <c r="A2" s="71">
        <f>'Schedule F'!C16</f>
        <v>0</v>
      </c>
    </row>
    <row r="3" spans="1:7">
      <c r="A3" s="7" t="s">
        <v>0</v>
      </c>
      <c r="B3" s="8" t="s">
        <v>6</v>
      </c>
      <c r="C3" s="7" t="s">
        <v>1</v>
      </c>
      <c r="D3" s="7" t="s">
        <v>67</v>
      </c>
      <c r="E3" s="7" t="s">
        <v>165</v>
      </c>
      <c r="F3" s="8" t="s">
        <v>5</v>
      </c>
      <c r="G3" s="7" t="s">
        <v>2</v>
      </c>
    </row>
    <row r="4" spans="1:7">
      <c r="A4" s="29" t="s">
        <v>81</v>
      </c>
      <c r="B4" s="6">
        <v>0</v>
      </c>
      <c r="C4" s="5">
        <v>0</v>
      </c>
      <c r="D4" s="9"/>
      <c r="E4" s="10">
        <f>SUMIF('Expense tracking'!C:C,"vehicle rent",'Expense tracking'!E:E)</f>
        <v>0</v>
      </c>
      <c r="F4" s="6"/>
      <c r="G4" s="5"/>
    </row>
    <row r="5" spans="1:7">
      <c r="A5" s="29" t="s">
        <v>82</v>
      </c>
      <c r="B5" s="6">
        <v>0</v>
      </c>
      <c r="C5" s="5">
        <v>0</v>
      </c>
      <c r="D5" s="9"/>
      <c r="E5" s="10">
        <f>SUMIF('Expense tracking'!C:C,"Other rent",'Expense tracking'!E:E)</f>
        <v>0</v>
      </c>
      <c r="F5" s="6"/>
      <c r="G5" s="5"/>
    </row>
    <row r="6" spans="1:7">
      <c r="A6" s="40" t="s">
        <v>88</v>
      </c>
      <c r="B6" s="6">
        <v>0</v>
      </c>
      <c r="C6" s="5">
        <v>0</v>
      </c>
      <c r="D6" s="9">
        <f>C6*B6</f>
        <v>0</v>
      </c>
      <c r="E6" s="10">
        <f>SUMIF('Expense tracking'!C:C,"Land Bank annual fee",'Expense tracking'!E:E)</f>
        <v>0</v>
      </c>
      <c r="F6" s="6"/>
      <c r="G6" s="5"/>
    </row>
    <row r="7" spans="1:7">
      <c r="A7" s="58" t="s">
        <v>65</v>
      </c>
      <c r="B7" s="50"/>
      <c r="C7" s="50"/>
      <c r="D7" s="171">
        <f>SUM(D4:D6)</f>
        <v>0</v>
      </c>
      <c r="E7" s="171">
        <f>SUM(E4:E6)</f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5" sqref="C5"/>
    </sheetView>
  </sheetViews>
  <sheetFormatPr baseColWidth="10" defaultRowHeight="15" x14ac:dyDescent="0"/>
  <cols>
    <col min="1" max="1" width="22" customWidth="1"/>
    <col min="2" max="2" width="17.1640625" customWidth="1"/>
    <col min="3" max="3" width="13" customWidth="1"/>
    <col min="4" max="4" width="18.1640625" customWidth="1"/>
    <col min="5" max="5" width="22.1640625" customWidth="1"/>
    <col min="6" max="6" width="29.33203125" customWidth="1"/>
    <col min="7" max="7" width="17.83203125" customWidth="1"/>
  </cols>
  <sheetData>
    <row r="1" spans="1:7">
      <c r="A1" s="2" t="s">
        <v>183</v>
      </c>
    </row>
    <row r="2" spans="1:7">
      <c r="A2" s="71">
        <f>'Schedule F'!C17</f>
        <v>0</v>
      </c>
    </row>
    <row r="3" spans="1:7">
      <c r="A3" s="7" t="s">
        <v>0</v>
      </c>
      <c r="B3" s="8" t="s">
        <v>6</v>
      </c>
      <c r="C3" s="7" t="s">
        <v>1</v>
      </c>
      <c r="D3" s="7" t="s">
        <v>67</v>
      </c>
      <c r="E3" s="7" t="s">
        <v>165</v>
      </c>
      <c r="F3" s="8" t="s">
        <v>90</v>
      </c>
      <c r="G3" s="7" t="s">
        <v>2</v>
      </c>
    </row>
    <row r="4" spans="1:7">
      <c r="A4" s="19" t="s">
        <v>20</v>
      </c>
      <c r="B4" s="20">
        <v>0</v>
      </c>
      <c r="C4" s="19">
        <v>0</v>
      </c>
      <c r="D4" s="20">
        <f>C4*B4</f>
        <v>0</v>
      </c>
      <c r="E4" s="21">
        <f>SUMIF('Expense tracking'!C:C,"BCS",'Expense tracking'!E:E)</f>
        <v>0</v>
      </c>
      <c r="F4" s="6"/>
      <c r="G4" s="5"/>
    </row>
    <row r="5" spans="1:7">
      <c r="A5" s="19" t="s">
        <v>133</v>
      </c>
      <c r="B5" s="20">
        <v>0</v>
      </c>
      <c r="C5" s="19">
        <v>0</v>
      </c>
      <c r="D5" s="20">
        <f t="shared" ref="D5:D7" si="0">C5*B5</f>
        <v>0</v>
      </c>
      <c r="E5" s="21">
        <f>SUMIF('Expense tracking'!C:C,"weed whacker",'Expense tracking'!E:E)</f>
        <v>0</v>
      </c>
    </row>
    <row r="6" spans="1:7">
      <c r="A6" s="19" t="s">
        <v>132</v>
      </c>
      <c r="B6" s="20">
        <v>0</v>
      </c>
      <c r="C6" s="19">
        <v>0</v>
      </c>
      <c r="D6" s="20">
        <f t="shared" si="0"/>
        <v>0</v>
      </c>
      <c r="E6" s="21">
        <f>SUMIF('Expense tracking'!C:C,"lawn mower",'Expense tracking'!E:E)</f>
        <v>0</v>
      </c>
    </row>
    <row r="7" spans="1:7">
      <c r="A7" s="5" t="s">
        <v>89</v>
      </c>
      <c r="B7" s="6">
        <v>0</v>
      </c>
      <c r="C7" s="5">
        <v>0</v>
      </c>
      <c r="D7" s="20">
        <f t="shared" si="0"/>
        <v>0</v>
      </c>
      <c r="E7" s="10">
        <f>SUMIF('Expense tracking'!C:C,"tools",'Expense tracking'!E:E)</f>
        <v>0</v>
      </c>
      <c r="F7" s="6"/>
      <c r="G7" s="5"/>
    </row>
    <row r="8" spans="1:7">
      <c r="A8" s="58" t="s">
        <v>65</v>
      </c>
      <c r="B8" s="50"/>
      <c r="C8" s="50"/>
      <c r="D8" s="171">
        <f>SUM(D4:D7)</f>
        <v>0</v>
      </c>
      <c r="E8" s="171">
        <f>SUM(E4:E7)</f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C5" sqref="C5"/>
    </sheetView>
  </sheetViews>
  <sheetFormatPr baseColWidth="10" defaultRowHeight="15" x14ac:dyDescent="0"/>
  <cols>
    <col min="1" max="1" width="22" customWidth="1"/>
    <col min="2" max="2" width="17.1640625" customWidth="1"/>
    <col min="3" max="3" width="13" customWidth="1"/>
    <col min="4" max="4" width="18.1640625" customWidth="1"/>
    <col min="5" max="5" width="22.1640625" customWidth="1"/>
    <col min="6" max="6" width="29.33203125" customWidth="1"/>
    <col min="7" max="7" width="17.83203125" customWidth="1"/>
  </cols>
  <sheetData>
    <row r="1" spans="1:7">
      <c r="A1" s="2" t="s">
        <v>183</v>
      </c>
    </row>
    <row r="2" spans="1:7">
      <c r="A2" s="71">
        <f>'Schedule F'!C18</f>
        <v>0</v>
      </c>
    </row>
    <row r="3" spans="1:7">
      <c r="A3" s="7" t="s">
        <v>0</v>
      </c>
      <c r="B3" s="8" t="s">
        <v>6</v>
      </c>
      <c r="C3" s="7" t="s">
        <v>1</v>
      </c>
      <c r="D3" s="7" t="s">
        <v>67</v>
      </c>
      <c r="E3" s="7" t="s">
        <v>165</v>
      </c>
      <c r="F3" s="8" t="s">
        <v>5</v>
      </c>
      <c r="G3" s="7" t="s">
        <v>2</v>
      </c>
    </row>
    <row r="4" spans="1:7">
      <c r="A4" s="30" t="s">
        <v>91</v>
      </c>
      <c r="B4" s="22">
        <v>0</v>
      </c>
      <c r="C4" s="30">
        <v>0</v>
      </c>
      <c r="D4" s="22">
        <f>C4*B4</f>
        <v>0</v>
      </c>
      <c r="E4" s="31">
        <f>SUMIF('Expense tracking'!C:C,"Production seed",'Expense tracking'!E:E)</f>
        <v>0</v>
      </c>
      <c r="F4" s="30"/>
      <c r="G4" s="5"/>
    </row>
    <row r="5" spans="1:7">
      <c r="A5" s="30" t="s">
        <v>92</v>
      </c>
      <c r="B5" s="22">
        <v>0</v>
      </c>
      <c r="C5" s="30">
        <v>0</v>
      </c>
      <c r="D5" s="22">
        <f>C5*B5</f>
        <v>0</v>
      </c>
      <c r="E5" s="31">
        <f>SUMIF('Expense tracking'!C:C,"cover crop seed",'Expense tracking'!E:E)</f>
        <v>0</v>
      </c>
      <c r="F5" s="30"/>
      <c r="G5" s="5"/>
    </row>
    <row r="6" spans="1:7">
      <c r="A6" s="58" t="s">
        <v>65</v>
      </c>
      <c r="B6" s="50"/>
      <c r="C6" s="50"/>
      <c r="D6" s="171">
        <f>SUM(D4:D5)</f>
        <v>0</v>
      </c>
      <c r="E6" s="171">
        <f>SUM(E4:E5)</f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workbookViewId="0">
      <selection activeCell="A3" sqref="A3"/>
    </sheetView>
  </sheetViews>
  <sheetFormatPr baseColWidth="10" defaultRowHeight="15" x14ac:dyDescent="0"/>
  <cols>
    <col min="1" max="1" width="22" customWidth="1"/>
    <col min="2" max="2" width="17.1640625" customWidth="1"/>
    <col min="3" max="3" width="13" customWidth="1"/>
    <col min="4" max="4" width="18.1640625" customWidth="1"/>
    <col min="5" max="5" width="22.1640625" customWidth="1"/>
    <col min="6" max="6" width="29.33203125" customWidth="1"/>
    <col min="7" max="7" width="17.83203125" customWidth="1"/>
  </cols>
  <sheetData>
    <row r="1" spans="1:7">
      <c r="A1" s="2" t="s">
        <v>183</v>
      </c>
    </row>
    <row r="2" spans="1:7">
      <c r="A2" s="71">
        <f>'Schedule F'!C20</f>
        <v>0</v>
      </c>
    </row>
    <row r="3" spans="1:7">
      <c r="A3" s="7" t="s">
        <v>0</v>
      </c>
      <c r="B3" s="8" t="s">
        <v>6</v>
      </c>
      <c r="C3" s="7" t="s">
        <v>1</v>
      </c>
      <c r="D3" s="7" t="s">
        <v>67</v>
      </c>
      <c r="E3" s="7" t="s">
        <v>165</v>
      </c>
      <c r="F3" s="8" t="s">
        <v>84</v>
      </c>
      <c r="G3" s="7" t="s">
        <v>2</v>
      </c>
    </row>
    <row r="4" spans="1:7" s="4" customFormat="1">
      <c r="A4" s="32" t="s">
        <v>119</v>
      </c>
      <c r="B4" s="24"/>
      <c r="C4" s="23"/>
      <c r="D4" s="23"/>
      <c r="E4" s="181">
        <f>SUMIF('Expense tracking'!C:C,"infrastructure",'Expense tracking'!E:E)</f>
        <v>0</v>
      </c>
      <c r="F4" s="24"/>
      <c r="G4" s="23"/>
    </row>
    <row r="5" spans="1:7" s="4" customFormat="1">
      <c r="A5" s="40" t="s">
        <v>118</v>
      </c>
      <c r="B5" s="41">
        <v>0</v>
      </c>
      <c r="C5" s="40">
        <v>0</v>
      </c>
      <c r="D5" s="42">
        <f>C5*B5</f>
        <v>0</v>
      </c>
      <c r="E5" s="42">
        <f>SUMIF('Expense tracking'!C:C,"caterpillar tunnel",'Expense tracking'!E:E)</f>
        <v>0</v>
      </c>
      <c r="F5" s="24"/>
      <c r="G5" s="23"/>
    </row>
    <row r="6" spans="1:7" s="4" customFormat="1">
      <c r="A6" s="40" t="s">
        <v>289</v>
      </c>
      <c r="B6" s="41">
        <v>0</v>
      </c>
      <c r="C6" s="40">
        <v>0</v>
      </c>
      <c r="D6" s="42">
        <f t="shared" ref="D6:D7" si="0">C6*B6</f>
        <v>0</v>
      </c>
      <c r="E6" s="42">
        <f>SUMIF('Expense tracking'!C:C,"NS wash/pack",'Expense tracking'!E:E)</f>
        <v>0</v>
      </c>
      <c r="F6" s="24"/>
      <c r="G6" s="23"/>
    </row>
    <row r="7" spans="1:7" s="4" customFormat="1">
      <c r="A7" s="40" t="s">
        <v>290</v>
      </c>
      <c r="B7" s="41">
        <v>0</v>
      </c>
      <c r="C7" s="40">
        <v>0</v>
      </c>
      <c r="D7" s="42">
        <f t="shared" si="0"/>
        <v>0</v>
      </c>
      <c r="E7" s="42">
        <f>SUMIF('Expense tracking'!C:C,"M wash/pack",'Expense tracking'!E:E)</f>
        <v>0</v>
      </c>
      <c r="F7" s="24"/>
      <c r="G7" s="23"/>
    </row>
    <row r="8" spans="1:7" s="4" customFormat="1">
      <c r="A8" s="32" t="s">
        <v>93</v>
      </c>
      <c r="B8" s="24"/>
      <c r="C8" s="23"/>
      <c r="D8" s="23"/>
      <c r="E8" s="42">
        <f>SUMIF('Expense tracking'!C:C,"electric fence",'Expense tracking'!E:E)</f>
        <v>0</v>
      </c>
      <c r="F8" s="24"/>
      <c r="G8" s="23"/>
    </row>
    <row r="9" spans="1:7" s="4" customFormat="1">
      <c r="A9" s="40" t="s">
        <v>249</v>
      </c>
      <c r="B9" s="170">
        <v>0</v>
      </c>
      <c r="C9" s="40">
        <v>0</v>
      </c>
      <c r="D9" s="20">
        <f>C9*B9</f>
        <v>0</v>
      </c>
      <c r="E9" s="48">
        <f>SUMIF('Expense tracking'!C:C,"gate wheels",'Expense tracking'!E:E)</f>
        <v>0</v>
      </c>
      <c r="F9" s="24"/>
      <c r="G9" s="23"/>
    </row>
    <row r="10" spans="1:7" s="4" customFormat="1">
      <c r="A10" s="40" t="s">
        <v>148</v>
      </c>
      <c r="B10" s="41">
        <v>0</v>
      </c>
      <c r="C10" s="40">
        <v>0</v>
      </c>
      <c r="D10" s="20">
        <f>C10*B10</f>
        <v>0</v>
      </c>
      <c r="E10" s="48">
        <f>SUMIF('Expense tracking'!C:C,"rubber gate handle",'Expense tracking'!E:E)</f>
        <v>0</v>
      </c>
      <c r="F10" s="41" t="s">
        <v>149</v>
      </c>
      <c r="G10" s="47"/>
    </row>
    <row r="11" spans="1:7">
      <c r="A11" s="33" t="s">
        <v>134</v>
      </c>
      <c r="B11" s="20">
        <v>0</v>
      </c>
      <c r="C11" s="19">
        <v>0</v>
      </c>
      <c r="D11" s="20">
        <f>C11*B11</f>
        <v>0</v>
      </c>
      <c r="E11" s="21">
        <f>SUMIF('Expense tracking'!C:C,"electric wire",'Expense tracking'!E:E)</f>
        <v>0</v>
      </c>
      <c r="F11" s="19" t="s">
        <v>147</v>
      </c>
      <c r="G11" s="5"/>
    </row>
    <row r="12" spans="1:7">
      <c r="A12" s="33" t="s">
        <v>25</v>
      </c>
      <c r="B12" s="20">
        <v>0</v>
      </c>
      <c r="C12" s="19">
        <v>0</v>
      </c>
      <c r="D12" s="20">
        <f t="shared" ref="D12:D14" si="1">C12*B12</f>
        <v>0</v>
      </c>
      <c r="E12" s="21">
        <f>SUMIF('Expense tracking'!C:C,"posts",'Expense tracking'!E:E)</f>
        <v>0</v>
      </c>
      <c r="F12" s="19" t="s">
        <v>145</v>
      </c>
      <c r="G12" s="5"/>
    </row>
    <row r="13" spans="1:7">
      <c r="A13" s="33" t="s">
        <v>143</v>
      </c>
      <c r="B13" s="20">
        <v>0</v>
      </c>
      <c r="C13" s="19">
        <v>0</v>
      </c>
      <c r="D13" s="20">
        <f t="shared" si="1"/>
        <v>0</v>
      </c>
      <c r="E13" s="21">
        <f>SUMIF('Expense tracking'!C:C,"insulators",'Expense tracking'!E:E)</f>
        <v>0</v>
      </c>
      <c r="F13" s="19" t="s">
        <v>144</v>
      </c>
      <c r="G13" s="5"/>
    </row>
    <row r="14" spans="1:7">
      <c r="A14" s="33" t="s">
        <v>135</v>
      </c>
      <c r="B14" s="20">
        <v>0</v>
      </c>
      <c r="C14" s="30">
        <v>0</v>
      </c>
      <c r="D14" s="20">
        <f t="shared" si="1"/>
        <v>0</v>
      </c>
      <c r="E14" s="21">
        <f>SUMIF('Expense tracking'!C:C,"fence battery",'Expense tracking'!E:E)</f>
        <v>0</v>
      </c>
      <c r="F14" s="19" t="s">
        <v>146</v>
      </c>
      <c r="G14" s="5"/>
    </row>
    <row r="15" spans="1:7" s="25" customFormat="1">
      <c r="A15" s="34" t="s">
        <v>94</v>
      </c>
      <c r="B15" s="35"/>
      <c r="C15" s="34"/>
      <c r="D15" s="35"/>
      <c r="E15" s="36">
        <f>SUMIF('Expense tracking'!C:C,"trellis materials",'Expense tracking'!E:E)</f>
        <v>0</v>
      </c>
      <c r="F15" s="34"/>
      <c r="G15" s="32"/>
    </row>
    <row r="16" spans="1:7">
      <c r="A16" s="33" t="s">
        <v>97</v>
      </c>
      <c r="B16" s="20">
        <v>0</v>
      </c>
      <c r="C16" s="19">
        <v>0</v>
      </c>
      <c r="D16" s="20">
        <f>C16*B16</f>
        <v>0</v>
      </c>
      <c r="E16" s="21">
        <f>SUMIF('Expense tracking'!C:C,"Stakes",'Expense tracking'!E:E)</f>
        <v>0</v>
      </c>
      <c r="F16" s="19"/>
      <c r="G16" s="5"/>
    </row>
    <row r="17" spans="1:7">
      <c r="A17" s="33" t="s">
        <v>96</v>
      </c>
      <c r="B17" s="20">
        <v>0</v>
      </c>
      <c r="C17" s="19">
        <v>0</v>
      </c>
      <c r="D17" s="20">
        <f t="shared" ref="D17:D29" si="2">C17*B17</f>
        <v>0</v>
      </c>
      <c r="E17" s="21">
        <f>SUMIF('Expense tracking'!C:C,"Twine",'Expense tracking'!E:E)</f>
        <v>0</v>
      </c>
      <c r="F17" s="19"/>
      <c r="G17" s="5"/>
    </row>
    <row r="18" spans="1:7">
      <c r="A18" s="34" t="s">
        <v>95</v>
      </c>
      <c r="B18" s="20"/>
      <c r="C18" s="19"/>
      <c r="D18" s="20"/>
      <c r="E18" s="21">
        <f>SUMIF('Expense tracking'!C:C,"greenhouse materials",'Expense tracking'!E:E)</f>
        <v>0</v>
      </c>
      <c r="F18" s="19"/>
      <c r="G18" s="5"/>
    </row>
    <row r="19" spans="1:7">
      <c r="A19" s="33" t="s">
        <v>26</v>
      </c>
      <c r="B19" s="20">
        <v>0</v>
      </c>
      <c r="C19" s="19">
        <v>0</v>
      </c>
      <c r="D19" s="20">
        <f t="shared" si="2"/>
        <v>0</v>
      </c>
      <c r="E19" s="21">
        <f>SUMIF('Expense tracking'!C:C,"Racks",'Expense tracking'!E:E)</f>
        <v>0</v>
      </c>
      <c r="F19" s="19" t="s">
        <v>98</v>
      </c>
      <c r="G19" s="5"/>
    </row>
    <row r="20" spans="1:7">
      <c r="A20" s="33" t="s">
        <v>136</v>
      </c>
      <c r="B20" s="20">
        <v>0</v>
      </c>
      <c r="C20" s="19">
        <v>0</v>
      </c>
      <c r="D20" s="20">
        <f t="shared" si="2"/>
        <v>0</v>
      </c>
      <c r="E20" s="21">
        <f>SUMIF('Expense tracking'!C:C,"Seed flats",'Expense tracking'!E:E)</f>
        <v>0</v>
      </c>
      <c r="F20" s="19" t="s">
        <v>99</v>
      </c>
      <c r="G20" s="5"/>
    </row>
    <row r="21" spans="1:7">
      <c r="A21" s="33" t="s">
        <v>239</v>
      </c>
      <c r="B21" s="20">
        <v>0</v>
      </c>
      <c r="C21" s="30">
        <v>0</v>
      </c>
      <c r="D21" s="20">
        <f t="shared" si="2"/>
        <v>0</v>
      </c>
      <c r="E21" s="21">
        <f>SUMIF('Expense tracking'!C:C,"potting soil",'Expense tracking'!E:E)</f>
        <v>0</v>
      </c>
      <c r="F21" s="19"/>
      <c r="G21" s="5"/>
    </row>
    <row r="22" spans="1:7">
      <c r="A22" s="33" t="s">
        <v>137</v>
      </c>
      <c r="B22" s="20">
        <v>0</v>
      </c>
      <c r="C22" s="30">
        <v>0</v>
      </c>
      <c r="D22" s="20">
        <f t="shared" si="2"/>
        <v>0</v>
      </c>
      <c r="E22" s="21">
        <f>SUMIF('Expense tracking'!C:C,"Seed tables",'Expense tracking'!E:E)</f>
        <v>0</v>
      </c>
      <c r="F22" s="19" t="s">
        <v>100</v>
      </c>
      <c r="G22" s="5"/>
    </row>
    <row r="23" spans="1:7">
      <c r="A23" s="33" t="s">
        <v>138</v>
      </c>
      <c r="B23" s="20">
        <v>0</v>
      </c>
      <c r="C23" s="19">
        <v>0</v>
      </c>
      <c r="D23" s="20">
        <f t="shared" si="2"/>
        <v>0</v>
      </c>
      <c r="E23" s="21">
        <f>SUMIF('Expense tracking'!C:C,"Cinderblocks",'Expense tracking'!E:E)</f>
        <v>0</v>
      </c>
      <c r="F23" s="19" t="s">
        <v>100</v>
      </c>
      <c r="G23" s="5"/>
    </row>
    <row r="24" spans="1:7">
      <c r="A24" s="33" t="s">
        <v>112</v>
      </c>
      <c r="B24" s="20">
        <v>0</v>
      </c>
      <c r="C24" s="30">
        <v>0</v>
      </c>
      <c r="D24" s="20">
        <f t="shared" si="2"/>
        <v>0</v>
      </c>
      <c r="E24" s="1">
        <f>SUMIF('Expense tracking'!C:C,"Heat mats",'Expense tracking'!E:E)</f>
        <v>0</v>
      </c>
      <c r="F24" s="30" t="s">
        <v>161</v>
      </c>
      <c r="G24" s="5"/>
    </row>
    <row r="25" spans="1:7">
      <c r="A25" s="33" t="s">
        <v>228</v>
      </c>
      <c r="B25" s="20">
        <v>0</v>
      </c>
      <c r="C25" s="30">
        <v>0</v>
      </c>
      <c r="D25" s="20">
        <f t="shared" si="2"/>
        <v>0</v>
      </c>
      <c r="E25" s="21">
        <f>SUMIF('Expense tracking'!C:C,"Heat cords",'Expense tracking'!E:E)</f>
        <v>0</v>
      </c>
      <c r="F25" s="30"/>
      <c r="G25" s="5"/>
    </row>
    <row r="26" spans="1:7">
      <c r="A26" s="33" t="s">
        <v>113</v>
      </c>
      <c r="B26" s="20">
        <v>0</v>
      </c>
      <c r="C26" s="30">
        <v>0</v>
      </c>
      <c r="D26" s="20">
        <f t="shared" si="2"/>
        <v>0</v>
      </c>
      <c r="E26" s="21">
        <f>SUMIF('Expense tracking'!C:C,"Propane heater",'Expense tracking'!E:E)</f>
        <v>0</v>
      </c>
      <c r="F26" s="19"/>
      <c r="G26" s="5"/>
    </row>
    <row r="27" spans="1:7">
      <c r="A27" s="33" t="s">
        <v>166</v>
      </c>
      <c r="B27" s="20">
        <v>0</v>
      </c>
      <c r="C27" s="30">
        <v>0</v>
      </c>
      <c r="D27" s="20">
        <f t="shared" si="2"/>
        <v>0</v>
      </c>
      <c r="E27" s="21">
        <f>SUMIF('Expense tracking'!C:C,"Extension cord prong",'Expense tracking'!E:E)</f>
        <v>0</v>
      </c>
      <c r="F27" s="19"/>
      <c r="G27" s="5"/>
    </row>
    <row r="28" spans="1:7">
      <c r="A28" s="33" t="s">
        <v>231</v>
      </c>
      <c r="B28" s="20">
        <v>0</v>
      </c>
      <c r="C28" s="30">
        <v>0</v>
      </c>
      <c r="D28" s="20">
        <f t="shared" si="2"/>
        <v>0</v>
      </c>
      <c r="E28" s="21">
        <f>SUMIF('Expense tracking'!C:C,"sand",'Expense tracking'!E:E)</f>
        <v>0</v>
      </c>
      <c r="F28" s="19"/>
      <c r="G28" s="5"/>
    </row>
    <row r="29" spans="1:7">
      <c r="A29" s="33" t="s">
        <v>238</v>
      </c>
      <c r="B29" s="20">
        <v>0</v>
      </c>
      <c r="C29" s="30">
        <v>0</v>
      </c>
      <c r="D29" s="20">
        <f t="shared" si="2"/>
        <v>0</v>
      </c>
      <c r="E29" s="21">
        <f>SUMIF('Expense tracking'!C:C,"bucket",'Expense tracking'!E:E)</f>
        <v>0</v>
      </c>
      <c r="F29" s="19"/>
      <c r="G29" s="5"/>
    </row>
    <row r="30" spans="1:7">
      <c r="A30" s="37" t="s">
        <v>103</v>
      </c>
      <c r="B30" s="20"/>
      <c r="C30" s="19"/>
      <c r="D30" s="20"/>
      <c r="E30" s="21">
        <f>SUMIF('Expense tracking'!C:C,"field supplies",'Expense tracking'!E:E)</f>
        <v>0</v>
      </c>
      <c r="F30" s="19"/>
      <c r="G30" s="5"/>
    </row>
    <row r="31" spans="1:7">
      <c r="A31" s="33" t="s">
        <v>27</v>
      </c>
      <c r="B31" s="20">
        <v>0</v>
      </c>
      <c r="C31" s="19">
        <v>0</v>
      </c>
      <c r="D31" s="20">
        <f>C31*B31</f>
        <v>0</v>
      </c>
      <c r="E31" s="21">
        <f>SUMIF('Expense tracking'!C:C,"Dustin Mizer",'Expense tracking'!E:E)</f>
        <v>0</v>
      </c>
      <c r="F31" s="30" t="s">
        <v>28</v>
      </c>
    </row>
    <row r="32" spans="1:7">
      <c r="A32" s="33" t="s">
        <v>31</v>
      </c>
      <c r="B32" s="20">
        <v>0</v>
      </c>
      <c r="C32" s="19">
        <v>0</v>
      </c>
      <c r="D32" s="20">
        <f t="shared" ref="D32:D33" si="3">C32*B32</f>
        <v>0</v>
      </c>
      <c r="E32" s="21">
        <f>SUMIF('Expense tracking'!C:C,"Hand soap",'Expense tracking'!E:E)</f>
        <v>0</v>
      </c>
      <c r="F32" s="19"/>
    </row>
    <row r="33" spans="1:6">
      <c r="A33" s="33" t="s">
        <v>32</v>
      </c>
      <c r="B33" s="20">
        <v>0</v>
      </c>
      <c r="C33" s="19">
        <v>0</v>
      </c>
      <c r="D33" s="20">
        <f t="shared" si="3"/>
        <v>0</v>
      </c>
      <c r="E33" s="21">
        <f>SUMIF('Expense tracking'!C:C,"Bleach",'Expense tracking'!E:E)</f>
        <v>0</v>
      </c>
      <c r="F33" s="19"/>
    </row>
    <row r="34" spans="1:6">
      <c r="A34" s="33" t="s">
        <v>139</v>
      </c>
      <c r="B34" s="22">
        <v>0</v>
      </c>
      <c r="C34" s="19">
        <v>0</v>
      </c>
      <c r="D34" s="20">
        <f>C34*B34</f>
        <v>0</v>
      </c>
      <c r="E34" s="21">
        <f>SUMIF('Expense tracking'!C:C,"Irrigation parts",'Expense tracking'!E:E)</f>
        <v>0</v>
      </c>
      <c r="F34" s="19"/>
    </row>
    <row r="35" spans="1:6">
      <c r="A35" s="33" t="s">
        <v>46</v>
      </c>
      <c r="B35" s="20">
        <v>0</v>
      </c>
      <c r="C35" s="19">
        <v>0</v>
      </c>
      <c r="D35" s="20">
        <f t="shared" ref="D35:D42" si="4">C35*B35</f>
        <v>0</v>
      </c>
      <c r="E35" s="21">
        <f>SUMIF('Expense tracking'!C:C,"mister spigot",'Expense tracking'!E:E)</f>
        <v>0</v>
      </c>
      <c r="F35" s="19"/>
    </row>
    <row r="36" spans="1:6">
      <c r="A36" s="33" t="s">
        <v>104</v>
      </c>
      <c r="B36" s="20">
        <v>0</v>
      </c>
      <c r="C36" s="30">
        <v>0</v>
      </c>
      <c r="D36" s="20">
        <f t="shared" si="4"/>
        <v>0</v>
      </c>
      <c r="E36" s="21">
        <f>SUMIF('Expense tracking'!C:C,"harvest knives",'Expense tracking'!E:E)</f>
        <v>0</v>
      </c>
      <c r="F36" s="19"/>
    </row>
    <row r="37" spans="1:6">
      <c r="A37" s="33" t="s">
        <v>114</v>
      </c>
      <c r="B37" s="20">
        <v>0</v>
      </c>
      <c r="C37" s="19">
        <v>0</v>
      </c>
      <c r="D37" s="20">
        <f t="shared" si="4"/>
        <v>0</v>
      </c>
      <c r="E37" s="21">
        <f>SUMIF('Expense tracking'!C:C,"cold weather gloves",'Expense tracking'!E:E)</f>
        <v>0</v>
      </c>
      <c r="F37" s="19"/>
    </row>
    <row r="38" spans="1:6">
      <c r="A38" s="33" t="s">
        <v>115</v>
      </c>
      <c r="B38" s="20">
        <v>0</v>
      </c>
      <c r="C38" s="30">
        <v>0</v>
      </c>
      <c r="D38" s="20">
        <f t="shared" si="4"/>
        <v>0</v>
      </c>
      <c r="E38" s="21">
        <f>SUMIF('Expense tracking'!C:C,"nitrile gloves",'Expense tracking'!E:E)</f>
        <v>0</v>
      </c>
      <c r="F38" s="19"/>
    </row>
    <row r="39" spans="1:6">
      <c r="A39" s="33" t="s">
        <v>116</v>
      </c>
      <c r="B39" s="20">
        <v>0</v>
      </c>
      <c r="C39" s="30">
        <v>0</v>
      </c>
      <c r="D39" s="20">
        <f t="shared" si="4"/>
        <v>0</v>
      </c>
      <c r="E39" s="21">
        <f>SUMIF('Expense tracking'!C:C,"work clothing",'Expense tracking'!E:E)</f>
        <v>0</v>
      </c>
      <c r="F39" s="19" t="s">
        <v>117</v>
      </c>
    </row>
    <row r="40" spans="1:6">
      <c r="A40" s="33" t="s">
        <v>150</v>
      </c>
      <c r="B40" s="20">
        <v>0</v>
      </c>
      <c r="C40" s="30">
        <v>0</v>
      </c>
      <c r="D40" s="20">
        <f t="shared" si="4"/>
        <v>0</v>
      </c>
      <c r="E40" s="21">
        <f>SUMIF('Expense tracking'!C:C,"ramps for BCS",'Expense tracking'!E:E)</f>
        <v>0</v>
      </c>
      <c r="F40" s="19"/>
    </row>
    <row r="41" spans="1:6">
      <c r="A41" s="33" t="s">
        <v>237</v>
      </c>
      <c r="B41" s="20">
        <v>0</v>
      </c>
      <c r="C41" s="30">
        <v>0</v>
      </c>
      <c r="D41" s="20">
        <f t="shared" si="4"/>
        <v>0</v>
      </c>
      <c r="E41" s="21">
        <f>SUMIF('Expense tracking'!C:C,"hay",'Expense tracking'!E:E)</f>
        <v>0</v>
      </c>
      <c r="F41" s="19"/>
    </row>
    <row r="42" spans="1:6">
      <c r="A42" s="33" t="s">
        <v>252</v>
      </c>
      <c r="B42" s="20">
        <v>0</v>
      </c>
      <c r="C42" s="30">
        <v>0</v>
      </c>
      <c r="D42" s="20">
        <f t="shared" si="4"/>
        <v>0</v>
      </c>
      <c r="E42" s="21">
        <f>SUMIF('Expense tracking'!C:C,"pressure washer",'Expense tracking'!E:E)</f>
        <v>0</v>
      </c>
      <c r="F42" s="19"/>
    </row>
    <row r="43" spans="1:6">
      <c r="A43" s="38" t="s">
        <v>101</v>
      </c>
      <c r="B43" s="20"/>
      <c r="C43" s="19"/>
      <c r="D43" s="20"/>
      <c r="E43" s="21">
        <f>SUMIF('Expense tracking'!C:C,"marketing materials",'Expense tracking'!E:E)</f>
        <v>0</v>
      </c>
      <c r="F43" s="30"/>
    </row>
    <row r="44" spans="1:6">
      <c r="A44" s="39" t="s">
        <v>251</v>
      </c>
      <c r="B44" s="20">
        <v>0</v>
      </c>
      <c r="C44" s="30">
        <v>0</v>
      </c>
      <c r="D44" s="20">
        <f>C44*B44</f>
        <v>0</v>
      </c>
      <c r="E44" s="21">
        <f>SUMIF('Expense tracking'!C:C,"ice packs",'Expense tracking'!E:E)</f>
        <v>0</v>
      </c>
      <c r="F44" s="30"/>
    </row>
    <row r="45" spans="1:6">
      <c r="A45" s="39" t="s">
        <v>240</v>
      </c>
      <c r="B45" s="20">
        <v>0</v>
      </c>
      <c r="C45" s="30">
        <v>0</v>
      </c>
      <c r="D45" s="20">
        <f>C45*B45</f>
        <v>0</v>
      </c>
      <c r="E45" s="21">
        <f>SUMIF('Expense tracking'!C:C,"ice",'Expense tracking'!E:E)</f>
        <v>0</v>
      </c>
      <c r="F45" s="30"/>
    </row>
    <row r="46" spans="1:6">
      <c r="A46" s="33" t="s">
        <v>111</v>
      </c>
      <c r="B46" s="20">
        <v>0</v>
      </c>
      <c r="C46" s="19">
        <v>0</v>
      </c>
      <c r="D46" s="20">
        <f>C46*B46</f>
        <v>0</v>
      </c>
      <c r="E46" s="21">
        <f>SUMIF('Expense tracking'!C:C,"large cooler",'Expense tracking'!E:E)</f>
        <v>0</v>
      </c>
      <c r="F46" s="30"/>
    </row>
    <row r="47" spans="1:6">
      <c r="A47" s="33" t="s">
        <v>50</v>
      </c>
      <c r="B47" s="20">
        <v>0</v>
      </c>
      <c r="C47" s="19">
        <v>0</v>
      </c>
      <c r="D47" s="20">
        <f t="shared" ref="D47:D62" si="5">C47*B47</f>
        <v>0</v>
      </c>
      <c r="E47" s="21">
        <f>SUMIF('Expense tracking'!C:C,"small cooler",'Expense tracking'!E:E)</f>
        <v>0</v>
      </c>
      <c r="F47" s="30"/>
    </row>
    <row r="48" spans="1:6">
      <c r="A48" s="33" t="s">
        <v>106</v>
      </c>
      <c r="B48" s="20">
        <v>0</v>
      </c>
      <c r="C48" s="30">
        <v>0</v>
      </c>
      <c r="D48" s="20">
        <f t="shared" si="5"/>
        <v>0</v>
      </c>
      <c r="E48" s="21">
        <f>SUMIF('Expense tracking'!C:C,"cardstock",'Expense tracking'!E:E)</f>
        <v>0</v>
      </c>
      <c r="F48" s="19" t="s">
        <v>34</v>
      </c>
    </row>
    <row r="49" spans="1:6">
      <c r="A49" s="33" t="s">
        <v>110</v>
      </c>
      <c r="B49" s="20">
        <v>0</v>
      </c>
      <c r="C49" s="19">
        <v>0</v>
      </c>
      <c r="D49" s="20">
        <f t="shared" si="5"/>
        <v>0</v>
      </c>
      <c r="E49" s="21">
        <f>SUMIF('Expense tracking'!C:C,"website",'Expense tracking'!E:E)</f>
        <v>0</v>
      </c>
      <c r="F49" s="19" t="s">
        <v>35</v>
      </c>
    </row>
    <row r="50" spans="1:6">
      <c r="A50" s="33" t="s">
        <v>140</v>
      </c>
      <c r="B50" s="20">
        <v>0</v>
      </c>
      <c r="C50" s="19">
        <v>0</v>
      </c>
      <c r="D50" s="20">
        <f t="shared" si="5"/>
        <v>0</v>
      </c>
      <c r="E50" s="21">
        <f>SUMIF('Expense tracking'!C:C,"business cards",'Expense tracking'!E:E)</f>
        <v>0</v>
      </c>
      <c r="F50" s="19" t="s">
        <v>47</v>
      </c>
    </row>
    <row r="51" spans="1:6">
      <c r="A51" s="33" t="s">
        <v>38</v>
      </c>
      <c r="B51" s="20">
        <v>0</v>
      </c>
      <c r="C51" s="19">
        <v>0</v>
      </c>
      <c r="D51" s="20">
        <f t="shared" si="5"/>
        <v>0</v>
      </c>
      <c r="E51" s="21">
        <f>SUMIF('Expense tracking'!C:C,"rubber bands",'Expense tracking'!E:E)</f>
        <v>0</v>
      </c>
      <c r="F51" s="19" t="s">
        <v>108</v>
      </c>
    </row>
    <row r="52" spans="1:6">
      <c r="A52" s="33" t="s">
        <v>39</v>
      </c>
      <c r="B52" s="20">
        <v>0</v>
      </c>
      <c r="C52" s="19">
        <v>0</v>
      </c>
      <c r="D52" s="20">
        <f t="shared" si="5"/>
        <v>0</v>
      </c>
      <c r="E52" s="21">
        <f>SUMIF('Expense tracking'!C:C,"large bags",'Expense tracking'!E:E)</f>
        <v>0</v>
      </c>
      <c r="F52" s="19" t="s">
        <v>109</v>
      </c>
    </row>
    <row r="53" spans="1:6">
      <c r="A53" s="33" t="s">
        <v>40</v>
      </c>
      <c r="B53" s="20">
        <v>0</v>
      </c>
      <c r="C53" s="19">
        <v>0</v>
      </c>
      <c r="D53" s="20">
        <f t="shared" si="5"/>
        <v>0</v>
      </c>
      <c r="E53" s="21">
        <f>SUMIF('Expense tracking'!C:C,"small bags",'Expense tracking'!E:E)</f>
        <v>0</v>
      </c>
      <c r="F53" s="19" t="s">
        <v>47</v>
      </c>
    </row>
    <row r="54" spans="1:6">
      <c r="A54" s="33" t="s">
        <v>244</v>
      </c>
      <c r="B54" s="20">
        <v>0</v>
      </c>
      <c r="C54" s="30">
        <v>0</v>
      </c>
      <c r="D54" s="20">
        <f t="shared" si="5"/>
        <v>0</v>
      </c>
      <c r="E54" s="21">
        <f>SUMIF('Expense tracking'!C:C,"paper bags",'Expense tracking'!E:E)</f>
        <v>0</v>
      </c>
      <c r="F54" s="19"/>
    </row>
    <row r="55" spans="1:6">
      <c r="A55" s="33" t="s">
        <v>41</v>
      </c>
      <c r="B55" s="20">
        <v>0</v>
      </c>
      <c r="C55" s="19">
        <v>0</v>
      </c>
      <c r="D55" s="20">
        <f t="shared" si="5"/>
        <v>0</v>
      </c>
      <c r="E55" s="21">
        <f>SUMIF('Expense tracking'!C:C,"pints",'Expense tracking'!E:E)</f>
        <v>0</v>
      </c>
      <c r="F55" s="19" t="s">
        <v>47</v>
      </c>
    </row>
    <row r="56" spans="1:6">
      <c r="A56" s="33" t="s">
        <v>42</v>
      </c>
      <c r="B56" s="20">
        <v>0</v>
      </c>
      <c r="C56" s="19">
        <v>0</v>
      </c>
      <c r="D56" s="20">
        <f t="shared" si="5"/>
        <v>0</v>
      </c>
      <c r="E56" s="21">
        <f>SUMIF('Expense tracking'!C:C,"quarts",'Expense tracking'!E:E)</f>
        <v>0</v>
      </c>
      <c r="F56" s="19" t="s">
        <v>48</v>
      </c>
    </row>
    <row r="57" spans="1:6">
      <c r="A57" s="33" t="s">
        <v>43</v>
      </c>
      <c r="B57" s="20">
        <v>0</v>
      </c>
      <c r="C57" s="19">
        <v>0</v>
      </c>
      <c r="D57" s="20">
        <f t="shared" si="5"/>
        <v>0</v>
      </c>
      <c r="E57" s="21">
        <f>SUMIF('Expense tracking'!C:C,"twist ties",'Expense tracking'!E:E)</f>
        <v>0</v>
      </c>
      <c r="F57" s="19"/>
    </row>
    <row r="58" spans="1:6">
      <c r="A58" s="33" t="s">
        <v>241</v>
      </c>
      <c r="B58" s="20">
        <v>0</v>
      </c>
      <c r="C58" s="30">
        <v>0</v>
      </c>
      <c r="D58" s="20">
        <f t="shared" si="5"/>
        <v>0</v>
      </c>
      <c r="E58" s="21">
        <f>SUMIF('Expense tracking'!C:C,"seedling cups",'Expense tracking'!E:E)</f>
        <v>0</v>
      </c>
      <c r="F58" s="19"/>
    </row>
    <row r="59" spans="1:6">
      <c r="A59" s="33" t="s">
        <v>243</v>
      </c>
      <c r="B59" s="20">
        <v>0</v>
      </c>
      <c r="C59" s="30">
        <v>0</v>
      </c>
      <c r="D59" s="20">
        <f t="shared" si="5"/>
        <v>0</v>
      </c>
      <c r="E59" s="21">
        <f>SUMIF('Expense tracking'!C:C,"compost bags",'Expense tracking'!E:E)</f>
        <v>0</v>
      </c>
      <c r="F59" s="19"/>
    </row>
    <row r="60" spans="1:6">
      <c r="A60" s="13" t="s">
        <v>37</v>
      </c>
      <c r="B60" s="20">
        <v>0</v>
      </c>
      <c r="C60" s="30"/>
      <c r="D60" s="20">
        <f t="shared" si="5"/>
        <v>0</v>
      </c>
      <c r="E60" s="21">
        <f>SUMIF('Expense tracking'!C:C,"t-shirts",'Expense tracking'!E:E)</f>
        <v>0</v>
      </c>
      <c r="F60" s="19"/>
    </row>
    <row r="61" spans="1:6">
      <c r="A61" s="33" t="s">
        <v>141</v>
      </c>
      <c r="B61" s="22">
        <v>0</v>
      </c>
      <c r="C61" s="19">
        <v>0</v>
      </c>
      <c r="D61" s="20">
        <f t="shared" si="5"/>
        <v>0</v>
      </c>
      <c r="E61" s="21">
        <f>SUMIF('Expense tracking'!C:C,"farmers market display",'Expense tracking'!E:E)</f>
        <v>0</v>
      </c>
      <c r="F61" s="30" t="s">
        <v>107</v>
      </c>
    </row>
    <row r="62" spans="1:6">
      <c r="A62" s="33" t="s">
        <v>49</v>
      </c>
      <c r="B62" s="20">
        <v>0</v>
      </c>
      <c r="C62" s="19">
        <v>0</v>
      </c>
      <c r="D62" s="20">
        <f t="shared" si="5"/>
        <v>0</v>
      </c>
      <c r="E62" s="21">
        <f>SUMIF('Expense tracking'!C:C,"supplemental CSA items",'Expense tracking'!E:E)</f>
        <v>0</v>
      </c>
      <c r="F62" s="19"/>
    </row>
    <row r="63" spans="1:6">
      <c r="A63" s="38" t="s">
        <v>105</v>
      </c>
      <c r="E63" s="1">
        <f>SUMIF('Expense tracking'!C:C,"office supplies",'Expense tracking'!E:E)</f>
        <v>0</v>
      </c>
      <c r="F63" s="19"/>
    </row>
    <row r="64" spans="1:6">
      <c r="A64" s="39" t="s">
        <v>248</v>
      </c>
      <c r="B64" s="22">
        <v>0</v>
      </c>
      <c r="C64">
        <v>0</v>
      </c>
      <c r="D64" s="20">
        <f>C64*B64</f>
        <v>0</v>
      </c>
      <c r="E64" s="21">
        <f>SUMIF('Expense tracking'!C:C,"business meal",'Expense tracking'!E:E)</f>
        <v>0</v>
      </c>
      <c r="F64" s="19"/>
    </row>
    <row r="65" spans="1:6">
      <c r="A65" s="33" t="s">
        <v>184</v>
      </c>
      <c r="B65" s="20">
        <v>0</v>
      </c>
      <c r="C65" s="19">
        <v>0</v>
      </c>
      <c r="D65" s="20">
        <f>C65*B65</f>
        <v>0</v>
      </c>
      <c r="E65" s="21">
        <f>SUMIF('Expense tracking'!C:C,"ink for printer",'Expense tracking'!E:E)</f>
        <v>0</v>
      </c>
      <c r="F65" s="19"/>
    </row>
    <row r="66" spans="1:6">
      <c r="A66" s="33" t="s">
        <v>30</v>
      </c>
      <c r="B66" s="20">
        <v>0</v>
      </c>
      <c r="C66" s="19">
        <v>0</v>
      </c>
      <c r="D66" s="20">
        <f t="shared" ref="D66:D68" si="6">C66*B66</f>
        <v>0</v>
      </c>
      <c r="E66" s="21">
        <f>SUMIF('Expense tracking'!C:C,"paper",'Expense tracking'!E:E)</f>
        <v>0</v>
      </c>
      <c r="F66" s="19"/>
    </row>
    <row r="67" spans="1:6">
      <c r="A67" s="33" t="s">
        <v>33</v>
      </c>
      <c r="B67" s="20">
        <v>0</v>
      </c>
      <c r="C67" s="19">
        <v>0</v>
      </c>
      <c r="D67" s="20">
        <f t="shared" si="6"/>
        <v>0</v>
      </c>
      <c r="E67" s="21">
        <f>SUMIF('Expense tracking'!C:C,"stamps",'Expense tracking'!E:E)</f>
        <v>0</v>
      </c>
      <c r="F67" s="19"/>
    </row>
    <row r="68" spans="1:6">
      <c r="A68" s="33" t="s">
        <v>36</v>
      </c>
      <c r="B68" s="20">
        <v>0</v>
      </c>
      <c r="C68" s="19">
        <v>0</v>
      </c>
      <c r="D68" s="20">
        <f t="shared" si="6"/>
        <v>0</v>
      </c>
      <c r="E68" s="21">
        <f>SUMIF('Expense tracking'!C:C,"lamination",'Expense tracking'!E:E)</f>
        <v>0</v>
      </c>
      <c r="F68" s="19"/>
    </row>
    <row r="69" spans="1:6">
      <c r="A69" s="176" t="s">
        <v>65</v>
      </c>
      <c r="B69" s="182"/>
      <c r="C69" s="183"/>
      <c r="D69" s="182">
        <f>SUM(D11:D68)</f>
        <v>0</v>
      </c>
      <c r="E69" s="184">
        <f>SUM(E4:E68)</f>
        <v>0</v>
      </c>
      <c r="F69" s="37"/>
    </row>
    <row r="70" spans="1:6">
      <c r="A70" s="19"/>
      <c r="B70" s="19"/>
      <c r="C70" s="19"/>
      <c r="D70" s="19"/>
      <c r="E70" s="19"/>
      <c r="F70" s="19"/>
    </row>
    <row r="71" spans="1:6">
      <c r="A71" s="19"/>
      <c r="B71" s="19"/>
      <c r="C71" s="19"/>
      <c r="D71" s="19"/>
      <c r="E71" s="19"/>
      <c r="F71" s="19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0" tint="-0.249977111117893"/>
  </sheetPr>
  <dimension ref="A1:G5"/>
  <sheetViews>
    <sheetView workbookViewId="0">
      <selection activeCell="A3" sqref="A3"/>
    </sheetView>
  </sheetViews>
  <sheetFormatPr baseColWidth="10" defaultRowHeight="15" x14ac:dyDescent="0"/>
  <cols>
    <col min="1" max="1" width="22" customWidth="1"/>
    <col min="2" max="2" width="17.1640625" customWidth="1"/>
    <col min="3" max="3" width="13" customWidth="1"/>
    <col min="4" max="4" width="18.1640625" customWidth="1"/>
    <col min="5" max="5" width="22.1640625" customWidth="1"/>
    <col min="6" max="6" width="29.33203125" customWidth="1"/>
    <col min="7" max="7" width="17.83203125" customWidth="1"/>
  </cols>
  <sheetData>
    <row r="1" spans="1:7">
      <c r="A1" s="17" t="s">
        <v>183</v>
      </c>
      <c r="B1" s="13"/>
      <c r="C1" s="13"/>
      <c r="D1" s="13"/>
      <c r="E1" s="13"/>
      <c r="F1" s="13"/>
      <c r="G1" s="13"/>
    </row>
    <row r="2" spans="1:7">
      <c r="A2" s="14">
        <f>'Schedule F'!C21</f>
        <v>0</v>
      </c>
      <c r="B2" s="13"/>
      <c r="C2" s="13"/>
      <c r="D2" s="13"/>
      <c r="E2" s="13"/>
      <c r="F2" s="13"/>
      <c r="G2" s="13"/>
    </row>
    <row r="3" spans="1:7">
      <c r="A3" s="7" t="s">
        <v>0</v>
      </c>
      <c r="B3" s="8" t="s">
        <v>6</v>
      </c>
      <c r="C3" s="7" t="s">
        <v>1</v>
      </c>
      <c r="D3" s="7" t="s">
        <v>67</v>
      </c>
      <c r="E3" s="7" t="s">
        <v>75</v>
      </c>
      <c r="F3" s="8" t="s">
        <v>5</v>
      </c>
      <c r="G3" s="7" t="s">
        <v>2</v>
      </c>
    </row>
    <row r="4" spans="1:7">
      <c r="A4" s="5"/>
      <c r="B4" s="6"/>
      <c r="C4" s="5"/>
      <c r="D4" s="9"/>
      <c r="E4" s="10"/>
      <c r="F4" s="6"/>
      <c r="G4" s="5"/>
    </row>
    <row r="5" spans="1:7">
      <c r="A5" s="3" t="s">
        <v>65</v>
      </c>
      <c r="B5" s="2"/>
      <c r="C5" s="2"/>
      <c r="D5" s="11">
        <f>SUM(D4:D4)</f>
        <v>0</v>
      </c>
      <c r="E5" s="11">
        <f>SUM(E4:E4)</f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C5" sqref="C5"/>
    </sheetView>
  </sheetViews>
  <sheetFormatPr baseColWidth="10" defaultRowHeight="15" x14ac:dyDescent="0"/>
  <cols>
    <col min="1" max="1" width="22" customWidth="1"/>
    <col min="2" max="2" width="17.1640625" customWidth="1"/>
    <col min="3" max="3" width="14.1640625" bestFit="1" customWidth="1"/>
    <col min="4" max="4" width="18.1640625" customWidth="1"/>
    <col min="5" max="5" width="22.1640625" customWidth="1"/>
    <col min="6" max="6" width="29.33203125" customWidth="1"/>
    <col min="7" max="7" width="17.83203125" customWidth="1"/>
  </cols>
  <sheetData>
    <row r="1" spans="1:7">
      <c r="A1" s="2" t="s">
        <v>183</v>
      </c>
    </row>
    <row r="2" spans="1:7">
      <c r="A2" s="71">
        <f>'Schedule F'!C22</f>
        <v>0</v>
      </c>
    </row>
    <row r="3" spans="1:7">
      <c r="A3" s="7" t="s">
        <v>0</v>
      </c>
      <c r="B3" s="8" t="s">
        <v>6</v>
      </c>
      <c r="C3" s="7" t="s">
        <v>1</v>
      </c>
      <c r="D3" s="7" t="s">
        <v>67</v>
      </c>
      <c r="E3" s="7" t="s">
        <v>165</v>
      </c>
      <c r="F3" s="8" t="s">
        <v>5</v>
      </c>
      <c r="G3" s="7" t="s">
        <v>2</v>
      </c>
    </row>
    <row r="4" spans="1:7">
      <c r="A4" s="19" t="s">
        <v>29</v>
      </c>
      <c r="B4" s="20">
        <v>0</v>
      </c>
      <c r="C4" s="19">
        <v>0</v>
      </c>
      <c r="D4" s="20">
        <f>C4*B4</f>
        <v>0</v>
      </c>
      <c r="E4" s="21">
        <f>SUMIF('Expense tracking'!C:C,"computer and internet",'Expense tracking'!E:E)</f>
        <v>0</v>
      </c>
      <c r="F4" s="6"/>
      <c r="G4" s="5"/>
    </row>
    <row r="5" spans="1:7">
      <c r="A5" s="5" t="s">
        <v>102</v>
      </c>
      <c r="B5" s="6">
        <v>0</v>
      </c>
      <c r="C5" s="5">
        <v>0</v>
      </c>
      <c r="D5" s="20">
        <f>C5*B5</f>
        <v>0</v>
      </c>
      <c r="E5" s="10">
        <f>SUMIF('Expense tracking'!C:C,"cellphone",'Expense tracking'!E:E)</f>
        <v>0</v>
      </c>
      <c r="F5" s="6"/>
      <c r="G5" s="5"/>
    </row>
    <row r="6" spans="1:7">
      <c r="A6" s="5" t="s">
        <v>23</v>
      </c>
      <c r="B6" s="6">
        <v>0</v>
      </c>
      <c r="C6" s="5">
        <v>0</v>
      </c>
      <c r="D6" s="20">
        <f>C6*B6</f>
        <v>0</v>
      </c>
      <c r="E6" s="10">
        <f>SUMIF('Expense tracking'!C:C,"Electricity",'Expense tracking'!E:E)</f>
        <v>0</v>
      </c>
      <c r="F6" s="6"/>
      <c r="G6" s="5"/>
    </row>
    <row r="7" spans="1:7">
      <c r="A7" s="5" t="s">
        <v>254</v>
      </c>
      <c r="B7" s="6">
        <v>0</v>
      </c>
      <c r="C7" s="5">
        <v>0</v>
      </c>
      <c r="D7" s="20">
        <f>C7*B7</f>
        <v>0</v>
      </c>
      <c r="E7" s="10">
        <f>SUMIF('Expense tracking'!C:C,"backflow test",'Expense tracking'!E:E)</f>
        <v>0</v>
      </c>
      <c r="F7" s="6"/>
      <c r="G7" s="5"/>
    </row>
    <row r="8" spans="1:7">
      <c r="A8" s="5" t="s">
        <v>281</v>
      </c>
      <c r="B8" s="6">
        <v>0</v>
      </c>
      <c r="C8" s="5">
        <v>0</v>
      </c>
      <c r="D8" s="20">
        <f t="shared" ref="D8" si="0">C8*B8</f>
        <v>0</v>
      </c>
      <c r="E8" s="10">
        <f>SUMIF('Expense tracking'!C:C,"Water @ Art's",'Expense tracking'!E:E)</f>
        <v>0</v>
      </c>
      <c r="F8" s="6"/>
      <c r="G8" s="5"/>
    </row>
    <row r="9" spans="1:7">
      <c r="A9" s="58" t="s">
        <v>65</v>
      </c>
      <c r="B9" s="50"/>
      <c r="C9" s="50"/>
      <c r="D9" s="171">
        <f>SUM(D4:D8)</f>
        <v>0</v>
      </c>
      <c r="E9" s="171">
        <f>SUM(E4:E8)</f>
        <v>0</v>
      </c>
    </row>
    <row r="16" spans="1:7">
      <c r="E16" s="72"/>
    </row>
    <row r="17" spans="5:5">
      <c r="E17" s="72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5" sqref="C5"/>
    </sheetView>
  </sheetViews>
  <sheetFormatPr baseColWidth="10" defaultRowHeight="15" x14ac:dyDescent="0"/>
  <cols>
    <col min="1" max="1" width="26.6640625" customWidth="1"/>
    <col min="2" max="2" width="17.1640625" customWidth="1"/>
    <col min="3" max="3" width="13" customWidth="1"/>
    <col min="4" max="4" width="18.1640625" customWidth="1"/>
    <col min="5" max="5" width="22.1640625" customWidth="1"/>
    <col min="6" max="6" width="29.33203125" customWidth="1"/>
    <col min="7" max="7" width="17.83203125" customWidth="1"/>
  </cols>
  <sheetData>
    <row r="1" spans="1:7">
      <c r="A1" s="2" t="s">
        <v>183</v>
      </c>
    </row>
    <row r="2" spans="1:7">
      <c r="A2" s="71">
        <f>'Schedule F'!C24</f>
        <v>0</v>
      </c>
    </row>
    <row r="3" spans="1:7">
      <c r="A3" s="7" t="s">
        <v>0</v>
      </c>
      <c r="B3" s="8" t="s">
        <v>6</v>
      </c>
      <c r="C3" s="7" t="s">
        <v>1</v>
      </c>
      <c r="D3" s="7" t="s">
        <v>67</v>
      </c>
      <c r="E3" s="7" t="s">
        <v>165</v>
      </c>
      <c r="F3" s="8" t="s">
        <v>5</v>
      </c>
      <c r="G3" s="7" t="s">
        <v>2</v>
      </c>
    </row>
    <row r="4" spans="1:7">
      <c r="A4" s="40" t="s">
        <v>120</v>
      </c>
      <c r="B4" s="6">
        <v>0</v>
      </c>
      <c r="C4" s="5">
        <v>0</v>
      </c>
      <c r="D4" s="9">
        <f>C4*B4</f>
        <v>0</v>
      </c>
      <c r="E4" s="10">
        <f>SUMIF('Expense tracking'!C:C,"conference and workshop attendance",'Expense tracking'!E:E)</f>
        <v>0</v>
      </c>
      <c r="F4" s="6" t="s">
        <v>121</v>
      </c>
      <c r="G4" s="5"/>
    </row>
    <row r="5" spans="1:7">
      <c r="A5" s="43" t="s">
        <v>44</v>
      </c>
      <c r="B5" s="28">
        <v>0</v>
      </c>
      <c r="C5" s="44">
        <v>0</v>
      </c>
      <c r="D5" s="28">
        <f>C5*B5</f>
        <v>0</v>
      </c>
      <c r="E5" s="28">
        <f>SUMIF('Expense tracking'!C:C,"OEFFA",'Expense tracking'!E:E)</f>
        <v>0</v>
      </c>
      <c r="F5" s="44"/>
    </row>
    <row r="6" spans="1:7">
      <c r="A6" s="43" t="s">
        <v>45</v>
      </c>
      <c r="B6" s="28">
        <v>0</v>
      </c>
      <c r="C6" s="44">
        <v>0</v>
      </c>
      <c r="D6" s="28">
        <f>C6*B6</f>
        <v>0</v>
      </c>
      <c r="E6" s="28">
        <f>SUMIF('Expense tracking'!C:C,"GCGC",'Expense tracking'!E:E)</f>
        <v>0</v>
      </c>
      <c r="F6" s="44"/>
    </row>
    <row r="7" spans="1:7">
      <c r="A7" s="44" t="s">
        <v>142</v>
      </c>
      <c r="B7" s="28">
        <v>0</v>
      </c>
      <c r="C7" s="44">
        <v>0</v>
      </c>
      <c r="D7" s="28">
        <f>C7*B7</f>
        <v>0</v>
      </c>
      <c r="E7" s="28">
        <f>SUMIF('Expense tracking'!C:C,"Farmers market application fee",'Expense tracking'!E:E)</f>
        <v>0</v>
      </c>
      <c r="F7" s="44"/>
    </row>
    <row r="8" spans="1:7">
      <c r="A8" s="44" t="s">
        <v>253</v>
      </c>
      <c r="B8" s="28">
        <v>0</v>
      </c>
      <c r="C8" s="44">
        <v>0</v>
      </c>
      <c r="D8" s="28">
        <f>C8*B8</f>
        <v>0</v>
      </c>
      <c r="E8" s="28">
        <f>SUMIF('Expense tracking'!C:C,"Farmers market rental fee",'Expense tracking'!E:E)</f>
        <v>0</v>
      </c>
      <c r="F8" s="44"/>
    </row>
    <row r="9" spans="1:7">
      <c r="A9" s="58" t="s">
        <v>65</v>
      </c>
      <c r="B9" s="50"/>
      <c r="C9" s="50"/>
      <c r="D9" s="171">
        <f>SUM(D4:D8)</f>
        <v>0</v>
      </c>
      <c r="E9" s="171">
        <f>SUM(E4:E8)</f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59999389629810485"/>
  </sheetPr>
  <dimension ref="A1:H4"/>
  <sheetViews>
    <sheetView workbookViewId="0">
      <selection activeCell="C28" sqref="C28"/>
    </sheetView>
  </sheetViews>
  <sheetFormatPr baseColWidth="10" defaultRowHeight="15" x14ac:dyDescent="0"/>
  <cols>
    <col min="1" max="1" width="22" customWidth="1"/>
    <col min="2" max="2" width="17.1640625" customWidth="1"/>
    <col min="3" max="3" width="13" customWidth="1"/>
    <col min="4" max="4" width="18.1640625" customWidth="1"/>
    <col min="5" max="5" width="22.1640625" customWidth="1"/>
    <col min="6" max="6" width="29.33203125" customWidth="1"/>
    <col min="7" max="7" width="17.83203125" customWidth="1"/>
  </cols>
  <sheetData>
    <row r="1" spans="1:8">
      <c r="A1" s="7" t="s">
        <v>0</v>
      </c>
      <c r="B1" s="8" t="s">
        <v>6</v>
      </c>
      <c r="C1" s="7" t="s">
        <v>1</v>
      </c>
      <c r="D1" s="7" t="s">
        <v>67</v>
      </c>
      <c r="E1" s="7" t="s">
        <v>75</v>
      </c>
      <c r="F1" s="8" t="s">
        <v>5</v>
      </c>
      <c r="G1" s="7" t="s">
        <v>2</v>
      </c>
      <c r="H1" s="4"/>
    </row>
    <row r="2" spans="1:8">
      <c r="A2" s="5"/>
      <c r="B2" s="6"/>
      <c r="C2" s="5"/>
      <c r="D2" s="9"/>
      <c r="E2" s="10"/>
      <c r="F2" s="6"/>
      <c r="G2" s="5"/>
      <c r="H2" s="4"/>
    </row>
    <row r="3" spans="1:8">
      <c r="A3" s="5"/>
      <c r="B3" s="6"/>
      <c r="C3" s="5"/>
      <c r="D3" s="9"/>
      <c r="E3" s="10"/>
      <c r="F3" s="6"/>
      <c r="G3" s="5"/>
    </row>
    <row r="4" spans="1:8">
      <c r="A4" s="3" t="s">
        <v>65</v>
      </c>
      <c r="B4" s="2"/>
      <c r="C4" s="2"/>
      <c r="D4" s="11">
        <f>SUM(D2:D3)</f>
        <v>0</v>
      </c>
      <c r="E4" s="11">
        <f>SUM(E2:E3)</f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59999389629810485"/>
  </sheetPr>
  <dimension ref="A1:G10"/>
  <sheetViews>
    <sheetView workbookViewId="0"/>
  </sheetViews>
  <sheetFormatPr baseColWidth="10" defaultRowHeight="15" x14ac:dyDescent="0"/>
  <cols>
    <col min="1" max="1" width="22" customWidth="1"/>
    <col min="2" max="2" width="17.1640625" customWidth="1"/>
    <col min="3" max="3" width="13" customWidth="1"/>
    <col min="4" max="4" width="18.1640625" customWidth="1"/>
    <col min="5" max="5" width="22.1640625" customWidth="1"/>
    <col min="6" max="6" width="29.33203125" customWidth="1"/>
    <col min="7" max="7" width="17.83203125" customWidth="1"/>
  </cols>
  <sheetData>
    <row r="1" spans="1:7">
      <c r="A1" s="7" t="s">
        <v>0</v>
      </c>
      <c r="B1" s="8" t="s">
        <v>6</v>
      </c>
      <c r="C1" s="7" t="s">
        <v>1</v>
      </c>
      <c r="D1" s="7" t="s">
        <v>67</v>
      </c>
      <c r="E1" s="7" t="s">
        <v>75</v>
      </c>
      <c r="F1" s="8" t="s">
        <v>5</v>
      </c>
      <c r="G1" s="7" t="s">
        <v>2</v>
      </c>
    </row>
    <row r="2" spans="1:7">
      <c r="A2" s="5"/>
      <c r="B2" s="6"/>
      <c r="C2" s="5"/>
      <c r="D2" s="9"/>
      <c r="E2" s="10"/>
      <c r="F2" s="6"/>
      <c r="G2" s="5"/>
    </row>
    <row r="3" spans="1:7">
      <c r="A3" s="5"/>
      <c r="B3" s="6"/>
      <c r="C3" s="5"/>
      <c r="D3" s="9"/>
      <c r="E3" s="10"/>
      <c r="F3" s="6"/>
      <c r="G3" s="5"/>
    </row>
    <row r="4" spans="1:7">
      <c r="A4" s="5"/>
      <c r="B4" s="6"/>
      <c r="C4" s="5"/>
      <c r="D4" s="9"/>
      <c r="E4" s="10"/>
      <c r="F4" s="6"/>
      <c r="G4" s="5"/>
    </row>
    <row r="5" spans="1:7">
      <c r="A5" s="5"/>
      <c r="B5" s="6"/>
      <c r="C5" s="5"/>
      <c r="D5" s="9"/>
      <c r="E5" s="10"/>
      <c r="F5" s="6"/>
      <c r="G5" s="5"/>
    </row>
    <row r="6" spans="1:7">
      <c r="A6" s="5"/>
      <c r="B6" s="6"/>
      <c r="C6" s="5"/>
      <c r="D6" s="9"/>
      <c r="E6" s="10"/>
      <c r="F6" s="6"/>
      <c r="G6" s="5"/>
    </row>
    <row r="7" spans="1:7">
      <c r="A7" s="5"/>
      <c r="B7" s="6"/>
      <c r="C7" s="5"/>
      <c r="D7" s="9"/>
      <c r="E7" s="10"/>
      <c r="F7" s="6"/>
      <c r="G7" s="5"/>
    </row>
    <row r="8" spans="1:7">
      <c r="A8" s="5"/>
      <c r="B8" s="6"/>
      <c r="C8" s="5"/>
      <c r="D8" s="9"/>
      <c r="E8" s="10"/>
      <c r="F8" s="6"/>
      <c r="G8" s="5"/>
    </row>
    <row r="9" spans="1:7">
      <c r="A9" s="5"/>
      <c r="B9" s="6"/>
      <c r="C9" s="5"/>
      <c r="D9" s="9"/>
      <c r="E9" s="10"/>
      <c r="F9" s="6"/>
      <c r="G9" s="5"/>
    </row>
    <row r="10" spans="1:7">
      <c r="A10" s="3" t="s">
        <v>65</v>
      </c>
      <c r="B10" s="2"/>
      <c r="C10" s="2"/>
      <c r="D10" s="11">
        <f>SUM(D2:D9)</f>
        <v>0</v>
      </c>
      <c r="E10" s="11">
        <f>SUM(E2:E9)</f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59999389629810485"/>
  </sheetPr>
  <dimension ref="A1:G4"/>
  <sheetViews>
    <sheetView workbookViewId="0">
      <selection activeCell="E14" sqref="E14"/>
    </sheetView>
  </sheetViews>
  <sheetFormatPr baseColWidth="10" defaultRowHeight="15" x14ac:dyDescent="0"/>
  <cols>
    <col min="1" max="1" width="22" customWidth="1"/>
    <col min="2" max="2" width="17.1640625" customWidth="1"/>
    <col min="3" max="3" width="13" customWidth="1"/>
    <col min="4" max="4" width="18.1640625" customWidth="1"/>
    <col min="5" max="5" width="22.1640625" customWidth="1"/>
    <col min="6" max="6" width="29.33203125" customWidth="1"/>
    <col min="7" max="7" width="17.83203125" customWidth="1"/>
  </cols>
  <sheetData>
    <row r="1" spans="1:7">
      <c r="A1" s="7" t="s">
        <v>0</v>
      </c>
      <c r="B1" s="8" t="s">
        <v>6</v>
      </c>
      <c r="C1" s="7" t="s">
        <v>1</v>
      </c>
      <c r="D1" s="7" t="s">
        <v>67</v>
      </c>
      <c r="E1" s="7" t="s">
        <v>75</v>
      </c>
      <c r="F1" s="8" t="s">
        <v>5</v>
      </c>
      <c r="G1" s="7" t="s">
        <v>2</v>
      </c>
    </row>
    <row r="2" spans="1:7">
      <c r="A2" s="5"/>
      <c r="B2" s="6"/>
      <c r="C2" s="5"/>
      <c r="D2" s="9"/>
      <c r="E2" s="10"/>
      <c r="F2" s="6"/>
      <c r="G2" s="5"/>
    </row>
    <row r="3" spans="1:7">
      <c r="A3" s="5"/>
      <c r="B3" s="6"/>
      <c r="C3" s="5"/>
      <c r="D3" s="9"/>
      <c r="E3" s="10"/>
      <c r="F3" s="6"/>
      <c r="G3" s="5"/>
    </row>
    <row r="4" spans="1:7">
      <c r="A4" s="3" t="s">
        <v>65</v>
      </c>
      <c r="B4" s="2"/>
      <c r="C4" s="2"/>
      <c r="D4" s="11">
        <f>SUM(D2:D3)</f>
        <v>0</v>
      </c>
      <c r="E4" s="11">
        <f>SUM(E2:E3)</f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59999389629810485"/>
  </sheetPr>
  <dimension ref="A1:G4"/>
  <sheetViews>
    <sheetView workbookViewId="0">
      <selection activeCell="F20" sqref="F20"/>
    </sheetView>
  </sheetViews>
  <sheetFormatPr baseColWidth="10" defaultRowHeight="15" x14ac:dyDescent="0"/>
  <cols>
    <col min="1" max="1" width="22" customWidth="1"/>
    <col min="2" max="2" width="17.1640625" customWidth="1"/>
    <col min="3" max="3" width="13" customWidth="1"/>
    <col min="4" max="4" width="18.1640625" customWidth="1"/>
    <col min="5" max="5" width="22.1640625" customWidth="1"/>
    <col min="6" max="6" width="29.33203125" customWidth="1"/>
    <col min="7" max="7" width="17.83203125" customWidth="1"/>
  </cols>
  <sheetData>
    <row r="1" spans="1:7">
      <c r="A1" s="7" t="s">
        <v>0</v>
      </c>
      <c r="B1" s="8" t="s">
        <v>6</v>
      </c>
      <c r="C1" s="7" t="s">
        <v>1</v>
      </c>
      <c r="D1" s="7" t="s">
        <v>67</v>
      </c>
      <c r="E1" s="7" t="s">
        <v>75</v>
      </c>
      <c r="F1" s="8" t="s">
        <v>5</v>
      </c>
      <c r="G1" s="7" t="s">
        <v>2</v>
      </c>
    </row>
    <row r="2" spans="1:7">
      <c r="A2" s="5"/>
      <c r="B2" s="6"/>
      <c r="C2" s="5"/>
      <c r="D2" s="9"/>
      <c r="E2" s="10"/>
      <c r="F2" s="6"/>
      <c r="G2" s="5"/>
    </row>
    <row r="3" spans="1:7">
      <c r="A3" s="5"/>
      <c r="B3" s="6"/>
      <c r="C3" s="5"/>
      <c r="D3" s="9"/>
      <c r="E3" s="10"/>
      <c r="F3" s="6"/>
      <c r="G3" s="5"/>
    </row>
    <row r="4" spans="1:7">
      <c r="A4" s="3" t="s">
        <v>65</v>
      </c>
      <c r="B4" s="2"/>
      <c r="C4" s="2"/>
      <c r="D4" s="11">
        <f>SUM(D2:D3)</f>
        <v>0</v>
      </c>
      <c r="E4" s="11">
        <f>SUM(E2:E3)</f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59999389629810485"/>
  </sheetPr>
  <dimension ref="A1:G4"/>
  <sheetViews>
    <sheetView workbookViewId="0">
      <selection activeCell="C17" sqref="C17"/>
    </sheetView>
  </sheetViews>
  <sheetFormatPr baseColWidth="10" defaultRowHeight="15" x14ac:dyDescent="0"/>
  <cols>
    <col min="1" max="1" width="22" customWidth="1"/>
    <col min="2" max="2" width="17.1640625" customWidth="1"/>
    <col min="3" max="3" width="13" customWidth="1"/>
    <col min="4" max="4" width="18.1640625" customWidth="1"/>
    <col min="5" max="5" width="22.1640625" customWidth="1"/>
    <col min="6" max="6" width="29.33203125" customWidth="1"/>
    <col min="7" max="7" width="17.83203125" customWidth="1"/>
  </cols>
  <sheetData>
    <row r="1" spans="1:7">
      <c r="A1" s="7" t="s">
        <v>0</v>
      </c>
      <c r="B1" s="8" t="s">
        <v>6</v>
      </c>
      <c r="C1" s="7" t="s">
        <v>1</v>
      </c>
      <c r="D1" s="7" t="s">
        <v>67</v>
      </c>
      <c r="E1" s="7" t="s">
        <v>75</v>
      </c>
      <c r="F1" s="8" t="s">
        <v>5</v>
      </c>
      <c r="G1" s="7" t="s">
        <v>2</v>
      </c>
    </row>
    <row r="2" spans="1:7">
      <c r="A2" s="5"/>
      <c r="B2" s="6"/>
      <c r="C2" s="5"/>
      <c r="D2" s="9"/>
      <c r="E2" s="10"/>
      <c r="F2" s="6"/>
      <c r="G2" s="5"/>
    </row>
    <row r="3" spans="1:7">
      <c r="A3" s="5"/>
      <c r="B3" s="6"/>
      <c r="C3" s="5"/>
      <c r="D3" s="9"/>
      <c r="E3" s="10"/>
      <c r="F3" s="6"/>
      <c r="G3" s="5"/>
    </row>
    <row r="4" spans="1:7">
      <c r="A4" s="3" t="s">
        <v>65</v>
      </c>
      <c r="B4" s="2"/>
      <c r="C4" s="2"/>
      <c r="D4" s="11">
        <f>SUM(D2:D3)</f>
        <v>0</v>
      </c>
      <c r="E4" s="11">
        <f>SUM(E2:E3)</f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59999389629810485"/>
  </sheetPr>
  <dimension ref="A1:G4"/>
  <sheetViews>
    <sheetView workbookViewId="0">
      <selection sqref="A1:I5"/>
    </sheetView>
  </sheetViews>
  <sheetFormatPr baseColWidth="10" defaultRowHeight="15" x14ac:dyDescent="0"/>
  <cols>
    <col min="1" max="1" width="22" customWidth="1"/>
    <col min="2" max="2" width="17.1640625" customWidth="1"/>
    <col min="3" max="3" width="13" customWidth="1"/>
    <col min="4" max="4" width="18.1640625" customWidth="1"/>
    <col min="5" max="5" width="22.1640625" customWidth="1"/>
    <col min="6" max="6" width="29.33203125" customWidth="1"/>
    <col min="7" max="7" width="17.83203125" customWidth="1"/>
  </cols>
  <sheetData>
    <row r="1" spans="1:7">
      <c r="A1" s="7" t="s">
        <v>0</v>
      </c>
      <c r="B1" s="8" t="s">
        <v>6</v>
      </c>
      <c r="C1" s="7" t="s">
        <v>1</v>
      </c>
      <c r="D1" s="7" t="s">
        <v>67</v>
      </c>
      <c r="E1" s="7" t="s">
        <v>75</v>
      </c>
      <c r="F1" s="8" t="s">
        <v>5</v>
      </c>
      <c r="G1" s="7" t="s">
        <v>2</v>
      </c>
    </row>
    <row r="2" spans="1:7">
      <c r="A2" s="5"/>
      <c r="B2" s="6"/>
      <c r="C2" s="5"/>
      <c r="D2" s="9"/>
      <c r="E2" s="10"/>
      <c r="F2" s="6"/>
      <c r="G2" s="5"/>
    </row>
    <row r="3" spans="1:7">
      <c r="A3" s="5"/>
      <c r="B3" s="6"/>
      <c r="C3" s="5"/>
      <c r="D3" s="9"/>
      <c r="E3" s="10"/>
      <c r="F3" s="6"/>
      <c r="G3" s="5"/>
    </row>
    <row r="4" spans="1:7">
      <c r="A4" s="3" t="s">
        <v>65</v>
      </c>
      <c r="B4" s="2"/>
      <c r="C4" s="2"/>
      <c r="D4" s="11">
        <f>SUM(D2:D3)</f>
        <v>0</v>
      </c>
      <c r="E4" s="11">
        <f>SUM(E2:E3)</f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59999389629810485"/>
  </sheetPr>
  <dimension ref="A1:G4"/>
  <sheetViews>
    <sheetView workbookViewId="0">
      <selection sqref="A1:I5"/>
    </sheetView>
  </sheetViews>
  <sheetFormatPr baseColWidth="10" defaultRowHeight="15" x14ac:dyDescent="0"/>
  <cols>
    <col min="1" max="1" width="22" customWidth="1"/>
    <col min="2" max="2" width="17.1640625" customWidth="1"/>
    <col min="3" max="3" width="13" customWidth="1"/>
    <col min="4" max="4" width="18.1640625" customWidth="1"/>
    <col min="5" max="5" width="22.1640625" customWidth="1"/>
    <col min="6" max="6" width="29.33203125" customWidth="1"/>
    <col min="7" max="7" width="17.83203125" customWidth="1"/>
  </cols>
  <sheetData>
    <row r="1" spans="1:7">
      <c r="A1" s="7" t="s">
        <v>0</v>
      </c>
      <c r="B1" s="8" t="s">
        <v>6</v>
      </c>
      <c r="C1" s="7" t="s">
        <v>1</v>
      </c>
      <c r="D1" s="7" t="s">
        <v>67</v>
      </c>
      <c r="E1" s="7" t="s">
        <v>75</v>
      </c>
      <c r="F1" s="8" t="s">
        <v>5</v>
      </c>
      <c r="G1" s="7" t="s">
        <v>2</v>
      </c>
    </row>
    <row r="2" spans="1:7">
      <c r="A2" s="5"/>
      <c r="B2" s="6"/>
      <c r="C2" s="5"/>
      <c r="D2" s="9"/>
      <c r="E2" s="10"/>
      <c r="F2" s="6"/>
      <c r="G2" s="5"/>
    </row>
    <row r="3" spans="1:7">
      <c r="A3" s="5"/>
      <c r="B3" s="6"/>
      <c r="C3" s="5"/>
      <c r="D3" s="9"/>
      <c r="E3" s="10"/>
      <c r="F3" s="6"/>
      <c r="G3" s="5"/>
    </row>
    <row r="4" spans="1:7">
      <c r="A4" s="3" t="s">
        <v>65</v>
      </c>
      <c r="B4" s="2"/>
      <c r="C4" s="2"/>
      <c r="D4" s="11">
        <f>SUM(D2:D3)</f>
        <v>0</v>
      </c>
      <c r="E4" s="11">
        <f>SUM(E2:E3)</f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59999389629810485"/>
  </sheetPr>
  <dimension ref="A1:G3"/>
  <sheetViews>
    <sheetView workbookViewId="0">
      <selection activeCell="F20" sqref="F20"/>
    </sheetView>
  </sheetViews>
  <sheetFormatPr baseColWidth="10" defaultRowHeight="15" x14ac:dyDescent="0"/>
  <cols>
    <col min="1" max="1" width="22" customWidth="1"/>
    <col min="2" max="2" width="17.1640625" customWidth="1"/>
    <col min="3" max="3" width="13" customWidth="1"/>
    <col min="4" max="4" width="18.1640625" customWidth="1"/>
    <col min="5" max="5" width="22.1640625" customWidth="1"/>
    <col min="6" max="6" width="29.33203125" customWidth="1"/>
    <col min="7" max="7" width="17.83203125" customWidth="1"/>
  </cols>
  <sheetData>
    <row r="1" spans="1:7">
      <c r="A1" s="7" t="s">
        <v>0</v>
      </c>
      <c r="B1" s="8" t="s">
        <v>6</v>
      </c>
      <c r="C1" s="7" t="s">
        <v>1</v>
      </c>
      <c r="D1" s="7" t="s">
        <v>67</v>
      </c>
      <c r="E1" s="7" t="s">
        <v>75</v>
      </c>
      <c r="F1" s="8" t="s">
        <v>5</v>
      </c>
      <c r="G1" s="7" t="s">
        <v>2</v>
      </c>
    </row>
    <row r="2" spans="1:7">
      <c r="A2" s="5"/>
      <c r="B2" s="6"/>
      <c r="C2" s="5"/>
      <c r="D2" s="9"/>
      <c r="E2" s="10"/>
      <c r="F2" s="6"/>
      <c r="G2" s="5"/>
    </row>
    <row r="3" spans="1:7">
      <c r="A3" s="3" t="s">
        <v>65</v>
      </c>
      <c r="B3" s="2"/>
      <c r="C3" s="2"/>
      <c r="D3" s="11">
        <f>SUM(D2:D2)</f>
        <v>0</v>
      </c>
      <c r="E3" s="11">
        <f>SUM(E2:E2)</f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59999389629810485"/>
  </sheetPr>
  <dimension ref="A1:G3"/>
  <sheetViews>
    <sheetView workbookViewId="0">
      <selection activeCell="D16" sqref="D16"/>
    </sheetView>
  </sheetViews>
  <sheetFormatPr baseColWidth="10" defaultRowHeight="15" x14ac:dyDescent="0"/>
  <cols>
    <col min="1" max="1" width="22" customWidth="1"/>
    <col min="2" max="2" width="17.1640625" customWidth="1"/>
    <col min="3" max="3" width="13" customWidth="1"/>
    <col min="4" max="4" width="18.1640625" customWidth="1"/>
    <col min="5" max="5" width="22.1640625" customWidth="1"/>
    <col min="6" max="6" width="29.33203125" customWidth="1"/>
    <col min="7" max="7" width="17.83203125" customWidth="1"/>
  </cols>
  <sheetData>
    <row r="1" spans="1:7">
      <c r="A1" s="7" t="s">
        <v>0</v>
      </c>
      <c r="B1" s="8" t="s">
        <v>6</v>
      </c>
      <c r="C1" s="7" t="s">
        <v>1</v>
      </c>
      <c r="D1" s="7" t="s">
        <v>67</v>
      </c>
      <c r="E1" s="7" t="s">
        <v>75</v>
      </c>
      <c r="F1" s="8" t="s">
        <v>5</v>
      </c>
      <c r="G1" s="7" t="s">
        <v>2</v>
      </c>
    </row>
    <row r="2" spans="1:7">
      <c r="A2" s="5"/>
      <c r="B2" s="6"/>
      <c r="C2" s="5"/>
      <c r="D2" s="9"/>
      <c r="E2" s="10"/>
      <c r="F2" s="6"/>
      <c r="G2" s="5"/>
    </row>
    <row r="3" spans="1:7">
      <c r="A3" s="3" t="s">
        <v>65</v>
      </c>
      <c r="B3" s="2"/>
      <c r="C3" s="2"/>
      <c r="D3" s="11">
        <f>SUM(D2:D2)</f>
        <v>0</v>
      </c>
      <c r="E3" s="11">
        <f>SUM(E2:E2)</f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29</vt:i4>
      </vt:variant>
    </vt:vector>
  </HeadingPairs>
  <TitlesOfParts>
    <vt:vector size="29" baseType="lpstr">
      <vt:lpstr>Months</vt:lpstr>
      <vt:lpstr>Cash flow</vt:lpstr>
      <vt:lpstr>Projected income</vt:lpstr>
      <vt:lpstr>Income tracking</vt:lpstr>
      <vt:lpstr>Expense tracking</vt:lpstr>
      <vt:lpstr>Schedule F</vt:lpstr>
      <vt:lpstr>Car and truck</vt:lpstr>
      <vt:lpstr>Chemicals</vt:lpstr>
      <vt:lpstr>Custom hire</vt:lpstr>
      <vt:lpstr>Fertilizers and lime</vt:lpstr>
      <vt:lpstr>Gasoline</vt:lpstr>
      <vt:lpstr>Labor</vt:lpstr>
      <vt:lpstr>Insurance</vt:lpstr>
      <vt:lpstr>Rent or lease</vt:lpstr>
      <vt:lpstr>Repairs and maintenance</vt:lpstr>
      <vt:lpstr>Seeds and plants</vt:lpstr>
      <vt:lpstr>Supplies</vt:lpstr>
      <vt:lpstr>Taxes</vt:lpstr>
      <vt:lpstr>Utilities</vt:lpstr>
      <vt:lpstr>Other expenses</vt:lpstr>
      <vt:lpstr>Conservation expenses</vt:lpstr>
      <vt:lpstr>Depreciation</vt:lpstr>
      <vt:lpstr>Employee benefit programs</vt:lpstr>
      <vt:lpstr>Feed</vt:lpstr>
      <vt:lpstr>Freight and trucking</vt:lpstr>
      <vt:lpstr>Interest</vt:lpstr>
      <vt:lpstr>Pension and profit-sharing</vt:lpstr>
      <vt:lpstr>Storage and warehousing</vt:lpstr>
      <vt:lpstr>Veterinary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Marcie Todd</dc:creator>
  <cp:keywords/>
  <dc:description/>
  <cp:lastModifiedBy>MacBook Pro</cp:lastModifiedBy>
  <cp:revision/>
  <cp:lastPrinted>2019-07-16T22:51:18Z</cp:lastPrinted>
  <dcterms:created xsi:type="dcterms:W3CDTF">2018-12-14T19:43:05Z</dcterms:created>
  <dcterms:modified xsi:type="dcterms:W3CDTF">2020-01-03T20:06:31Z</dcterms:modified>
  <cp:category/>
  <cp:contentStatus/>
</cp:coreProperties>
</file>